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865" windowHeight="8940" activeTab="0"/>
  </bookViews>
  <sheets>
    <sheet name="Til indtastning, kun egne valg" sheetId="1" r:id="rId1"/>
    <sheet name="med eksempler på standardtal" sheetId="2" r:id="rId2"/>
    <sheet name="gl. byggeblad med gl. DE def." sheetId="3" r:id="rId3"/>
  </sheets>
  <definedNames>
    <definedName name="_xlnm.Print_Area" localSheetId="2">'gl. byggeblad med gl. DE def.'!$A$1:$R$42</definedName>
    <definedName name="_xlnm.Print_Area" localSheetId="1">'med eksempler på standardtal'!$A$1:$R$44</definedName>
    <definedName name="_xlnm.Print_Area" localSheetId="0">'Til indtastning, kun egne valg'!$A$1:$R$42</definedName>
  </definedNames>
  <calcPr fullCalcOnLoad="1"/>
</workbook>
</file>

<file path=xl/sharedStrings.xml><?xml version="1.0" encoding="utf-8"?>
<sst xmlns="http://schemas.openxmlformats.org/spreadsheetml/2006/main" count="315" uniqueCount="108">
  <si>
    <t>Startvægt</t>
  </si>
  <si>
    <t>DE/dyr</t>
  </si>
  <si>
    <t>antal pr DE</t>
  </si>
  <si>
    <t>Slutvægt</t>
  </si>
  <si>
    <t>Frav.vægt</t>
  </si>
  <si>
    <t>DE pr årsso, inkl.</t>
  </si>
  <si>
    <t>korr. frav.vægt</t>
  </si>
  <si>
    <t>Formler for dyreenheder dur kun, når vægtgrænserne til smågrise og slagtesvin er opfyldt. Generelle formler til vilkårlig vægt kræver mere komplicerede formler.</t>
  </si>
  <si>
    <t>pr år</t>
  </si>
  <si>
    <t>Antal</t>
  </si>
  <si>
    <t>slagtesvin</t>
  </si>
  <si>
    <t>Belægning</t>
  </si>
  <si>
    <t>i alt ha/år</t>
  </si>
  <si>
    <t>1,4 DE/år</t>
  </si>
  <si>
    <t>2,8 DE/år</t>
  </si>
  <si>
    <t xml:space="preserve">Antal </t>
  </si>
  <si>
    <t>årssøer</t>
  </si>
  <si>
    <t>Frav alder</t>
  </si>
  <si>
    <t>foder i</t>
  </si>
  <si>
    <t>farefold,%</t>
  </si>
  <si>
    <t>areal pr</t>
  </si>
  <si>
    <t>årsso, m2</t>
  </si>
  <si>
    <t>farefolde</t>
  </si>
  <si>
    <t>Kuld pr</t>
  </si>
  <si>
    <t>årsso</t>
  </si>
  <si>
    <t>kuld i alt</t>
  </si>
  <si>
    <t>samtidigt</t>
  </si>
  <si>
    <t>Regneark til beregning af foldarealer for grise på friland.</t>
  </si>
  <si>
    <t>Frit valg af egne forudsætninger for sohold:</t>
  </si>
  <si>
    <t>Søer med standardtal for hver fravænningsalder:</t>
  </si>
  <si>
    <t>Udarbejdet af Per Tybirk, Videncenter for Svineproduktion</t>
  </si>
  <si>
    <t>Der må kun indtastes i gule felter</t>
  </si>
  <si>
    <t>Slagtesvin: man vælger enten slagtevægt eller levendevægtfeltet ved indtastning</t>
  </si>
  <si>
    <t>Starvægt</t>
  </si>
  <si>
    <t>slutvægt</t>
  </si>
  <si>
    <t>Fravænnet pr kuld:</t>
  </si>
  <si>
    <t>Frav. pr årsso</t>
  </si>
  <si>
    <t>søer pr</t>
  </si>
  <si>
    <t>DE</t>
  </si>
  <si>
    <t>smågrise</t>
  </si>
  <si>
    <t>Smågrise. Afgangsvægten skal være max 40 kg, ellers gælder formlerne ikke</t>
  </si>
  <si>
    <t>Areal, m2</t>
  </si>
  <si>
    <t>pr farefold</t>
  </si>
  <si>
    <t>med grise</t>
  </si>
  <si>
    <t>hele året</t>
  </si>
  <si>
    <t>årsso i</t>
  </si>
  <si>
    <t xml:space="preserve">M2 pr </t>
  </si>
  <si>
    <t>Areal i alt</t>
  </si>
  <si>
    <t>i farefolde</t>
  </si>
  <si>
    <t>ha</t>
  </si>
  <si>
    <t>areal</t>
  </si>
  <si>
    <t>i alt</t>
  </si>
  <si>
    <t>øvrige*</t>
  </si>
  <si>
    <t>* hvis alle dyr er ude hele året, ellers reduceres det</t>
  </si>
  <si>
    <t xml:space="preserve"> </t>
  </si>
  <si>
    <t>Arealer er netto excl. Omfangsarealer, dvs exkl. afstande til yderhegn, da arealet er afhængig af markens placering og form.</t>
  </si>
  <si>
    <t>Slagtesvin kan også regne FRATS, kravet er ind &lt; 40 kg og afgang &gt; 87 kg</t>
  </si>
  <si>
    <t>Slagtevægt</t>
  </si>
  <si>
    <t>pr ha</t>
  </si>
  <si>
    <t>Alle ude</t>
  </si>
  <si>
    <t xml:space="preserve">Frit valg kræver spildfoderdage pr kuld til beregning af kuld pr årsso: </t>
  </si>
  <si>
    <t>Antal til</t>
  </si>
  <si>
    <t>1,4 DE</t>
  </si>
  <si>
    <t>DE i alt</t>
  </si>
  <si>
    <t>Søer + grise</t>
  </si>
  <si>
    <t>til frav.</t>
  </si>
  <si>
    <t>I praksis er søer og polte ofte i indendørs løbeafdeling. Det betyder, at arealkravet  reduceres svarende til den andel af tiden, som søerne er inde.</t>
  </si>
  <si>
    <t>pr cyclus</t>
  </si>
  <si>
    <t>cyclus</t>
  </si>
  <si>
    <t>i alt dage</t>
  </si>
  <si>
    <t>Der indtastes tallene for søer, som bliver drægtige ved 1. løbning - antagelsen er, at ikke drægtige (spilddage) er jævnt fordelt</t>
  </si>
  <si>
    <t>dage pr.</t>
  </si>
  <si>
    <t>Reduktion</t>
  </si>
  <si>
    <t>af areal</t>
  </si>
  <si>
    <t>øvrige,%</t>
  </si>
  <si>
    <t>Er alle drægtige, polte og orner indenfor i en del af året beregnes udearealet for "øvrige" udenfor farefolde som: Antal dage hvor der er søer ude/365 x areal beregnet ovenfor.</t>
  </si>
  <si>
    <t>Faktor, som</t>
  </si>
  <si>
    <t>ganges på</t>
  </si>
  <si>
    <t>areal, øvrige</t>
  </si>
  <si>
    <t>Slagtesvin: man indtaster levendevægt = slagtevægt x 1,31 som slutvægt</t>
  </si>
  <si>
    <t>Søer med frit valg af alle forudsætninger, check gerne sammenhæng i faneblad 1, hvor standardtal for hele uger er angivet</t>
  </si>
  <si>
    <t>Hele besætningen</t>
  </si>
  <si>
    <t>ved 1,4DE</t>
  </si>
  <si>
    <t>Arealkrav,ha</t>
  </si>
  <si>
    <t>Arealkrav pr år</t>
  </si>
  <si>
    <t>ved 2,8DE/ha</t>
  </si>
  <si>
    <t>* reduceres hvis inde en del af året, se nedenfor</t>
  </si>
  <si>
    <t>Reduceret areal til drægtige søer ude, men udenfor farefolde</t>
  </si>
  <si>
    <t>Antal dage med drægtige søer udenfor pr år:</t>
  </si>
  <si>
    <t>(før evt hensyn til, at alle søer kan være inde en del af året, se nedenfor)</t>
  </si>
  <si>
    <t>BEMÆRK AT DETTE ER IFØLGE DET GAMLE FORÆLDEDE BYGGEBLAD MED GAMMEL DE-DEFINITION!</t>
  </si>
  <si>
    <t>Regneark til beregning af foldarealer for grise på friland med dyreenheder ifølge 2009 definitioner.</t>
  </si>
  <si>
    <t xml:space="preserve">Korrigeret arealkrav til søer ude, men ikke i  farefolde </t>
  </si>
  <si>
    <t xml:space="preserve">Korrigeret arealkrav til søer ude, men ikke i farefolde </t>
  </si>
  <si>
    <t>(Landsgns. Konv er 14-15, friland ofte lidt højere, justerer kuld pr årsso)</t>
  </si>
  <si>
    <t>(Landsgns konv. Er 14-15, friland ofte lidt højere, justerer kuld pr. årsso.)</t>
  </si>
  <si>
    <t>(Landsgns konv. 14-15, friland ofte lidt højere, justerer kuld pr. årsso)</t>
  </si>
  <si>
    <t>Indendørs</t>
  </si>
  <si>
    <t>udendørs</t>
  </si>
  <si>
    <t>Udendørs</t>
  </si>
  <si>
    <t>Delvis Indendørs: Reduktion af arealkravet for søer, orner og polte ikke i farefolde f.eks. ved indendørs løbeafdeling eller inde om vinteren:</t>
  </si>
  <si>
    <t>ikke i farefold</t>
  </si>
  <si>
    <t>Arealkrav, afhængig af</t>
  </si>
  <si>
    <t>Søer med frit valg af alle forudsætninger, check gerne sammenhæng i faneblad 2, hvor standardtal for hele uger er angivet. Der regnes med 2,8 DE pr ha for søer.</t>
  </si>
  <si>
    <t>Aralkrav afhængig af belægning</t>
  </si>
  <si>
    <t>søer i</t>
  </si>
  <si>
    <t>antal</t>
  </si>
  <si>
    <t>Arealkrav afhængig af belægning</t>
  </si>
</sst>
</file>

<file path=xl/styles.xml><?xml version="1.0" encoding="utf-8"?>
<styleSheet xmlns="http://schemas.openxmlformats.org/spreadsheetml/2006/main">
  <numFmts count="2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000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00000"/>
    <numFmt numFmtId="177" formatCode="0.00000000"/>
    <numFmt numFmtId="178" formatCode="#,##0.0"/>
  </numFmts>
  <fonts count="46">
    <font>
      <sz val="11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1"/>
      <color theme="3" tint="0.39998000860214233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1" fontId="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2" fillId="34" borderId="0" xfId="0" applyFont="1" applyFill="1" applyAlignment="1">
      <alignment/>
    </xf>
    <xf numFmtId="171" fontId="0" fillId="0" borderId="0" xfId="0" applyNumberFormat="1" applyFon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5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72" fontId="0" fillId="3" borderId="0" xfId="0" applyNumberForma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7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2" fontId="0" fillId="4" borderId="0" xfId="0" applyNumberFormat="1" applyFill="1" applyAlignment="1">
      <alignment horizontal="center"/>
    </xf>
    <xf numFmtId="171" fontId="0" fillId="4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72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170" fontId="0" fillId="4" borderId="0" xfId="0" applyNumberFormat="1" applyFill="1" applyAlignment="1">
      <alignment horizontal="center"/>
    </xf>
    <xf numFmtId="17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7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left"/>
    </xf>
    <xf numFmtId="172" fontId="2" fillId="4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178" fontId="0" fillId="4" borderId="0" xfId="0" applyNumberForma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left"/>
    </xf>
    <xf numFmtId="1" fontId="0" fillId="35" borderId="0" xfId="0" applyNumberFormat="1" applyFill="1" applyAlignment="1">
      <alignment horizontal="center"/>
    </xf>
    <xf numFmtId="174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35" borderId="0" xfId="0" applyFill="1" applyAlignment="1">
      <alignment/>
    </xf>
    <xf numFmtId="171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2" fontId="0" fillId="35" borderId="0" xfId="0" applyNumberFormat="1" applyFill="1" applyAlignment="1">
      <alignment/>
    </xf>
    <xf numFmtId="0" fontId="45" fillId="0" borderId="0" xfId="0" applyFont="1" applyAlignment="1">
      <alignment/>
    </xf>
    <xf numFmtId="1" fontId="0" fillId="4" borderId="0" xfId="0" applyNumberFormat="1" applyFont="1" applyFill="1" applyAlignment="1">
      <alignment horizontal="left"/>
    </xf>
    <xf numFmtId="0" fontId="0" fillId="34" borderId="0" xfId="0" applyFill="1" applyAlignment="1" applyProtection="1">
      <alignment horizontal="center"/>
      <protection locked="0"/>
    </xf>
    <xf numFmtId="172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1" fontId="0" fillId="4" borderId="0" xfId="0" applyNumberFormat="1" applyFill="1" applyAlignment="1">
      <alignment horizontal="left"/>
    </xf>
    <xf numFmtId="0" fontId="2" fillId="35" borderId="0" xfId="0" applyFont="1" applyFill="1" applyAlignment="1">
      <alignment/>
    </xf>
    <xf numFmtId="2" fontId="2" fillId="35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" fontId="2" fillId="35" borderId="0" xfId="0" applyNumberFormat="1" applyFont="1" applyFill="1" applyAlignment="1">
      <alignment horizontal="center"/>
    </xf>
    <xf numFmtId="170" fontId="0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2" fontId="2" fillId="35" borderId="0" xfId="0" applyNumberFormat="1" applyFont="1" applyFill="1" applyAlignment="1">
      <alignment/>
    </xf>
    <xf numFmtId="0" fontId="0" fillId="3" borderId="0" xfId="0" applyFont="1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2" fillId="16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95" zoomScaleNormal="95" zoomScalePageLayoutView="0" workbookViewId="0" topLeftCell="A1">
      <selection activeCell="T26" sqref="T26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125" style="0" customWidth="1"/>
    <col min="12" max="12" width="12.75390625" style="0" customWidth="1"/>
    <col min="13" max="13" width="7.625" style="0" bestFit="1" customWidth="1"/>
    <col min="14" max="14" width="15.375" style="0" hidden="1" customWidth="1"/>
    <col min="15" max="15" width="9.875" style="0" customWidth="1"/>
    <col min="16" max="16" width="9.00390625" style="0" customWidth="1"/>
    <col min="17" max="18" width="9.375" style="0" customWidth="1"/>
  </cols>
  <sheetData>
    <row r="1" spans="1:10" ht="18">
      <c r="A1" s="19" t="s">
        <v>91</v>
      </c>
      <c r="B1" s="1"/>
      <c r="C1" s="1"/>
      <c r="J1" s="7"/>
    </row>
    <row r="2" spans="1:10" ht="15">
      <c r="A2" s="1" t="s">
        <v>30</v>
      </c>
      <c r="B2" s="1"/>
      <c r="C2" s="1"/>
      <c r="J2" s="7"/>
    </row>
    <row r="3" spans="1:10" ht="15">
      <c r="A3" s="7"/>
      <c r="B3" s="1"/>
      <c r="C3" s="1"/>
      <c r="J3" s="7"/>
    </row>
    <row r="4" spans="1:10" ht="15">
      <c r="A4" s="1" t="s">
        <v>55</v>
      </c>
      <c r="B4" s="1"/>
      <c r="C4" s="1"/>
      <c r="J4" s="7"/>
    </row>
    <row r="5" spans="1:3" ht="23.25">
      <c r="A5" s="20" t="s">
        <v>31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79</v>
      </c>
      <c r="B8" s="25"/>
      <c r="C8" s="25"/>
      <c r="D8" s="26"/>
      <c r="E8" s="26"/>
      <c r="F8" s="26"/>
      <c r="G8" s="26"/>
      <c r="H8" s="26"/>
      <c r="I8" s="24"/>
      <c r="J8" s="26"/>
      <c r="K8" s="26"/>
      <c r="L8" s="26"/>
      <c r="M8" s="26"/>
    </row>
    <row r="9" spans="1:13" ht="15">
      <c r="A9" s="24" t="s">
        <v>56</v>
      </c>
      <c r="B9" s="24"/>
      <c r="C9" s="25"/>
      <c r="D9" s="26"/>
      <c r="E9" s="26"/>
      <c r="F9" s="26"/>
      <c r="G9" s="26"/>
      <c r="H9" s="26"/>
      <c r="I9" s="24" t="s">
        <v>107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61</v>
      </c>
      <c r="I10" s="25" t="s">
        <v>13</v>
      </c>
      <c r="J10" s="24" t="s">
        <v>14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57</v>
      </c>
      <c r="D11" s="27" t="s">
        <v>3</v>
      </c>
      <c r="E11" s="27" t="s">
        <v>1</v>
      </c>
      <c r="F11" s="27" t="s">
        <v>2</v>
      </c>
      <c r="G11" s="27" t="s">
        <v>63</v>
      </c>
      <c r="H11" s="60" t="s">
        <v>62</v>
      </c>
      <c r="I11" s="60" t="s">
        <v>12</v>
      </c>
      <c r="J11" s="90" t="s">
        <v>12</v>
      </c>
      <c r="K11" s="27"/>
      <c r="L11" s="27"/>
      <c r="M11" s="27"/>
      <c r="O11" s="3"/>
      <c r="P11" s="3"/>
      <c r="Q11" s="3"/>
    </row>
    <row r="12" spans="1:13" ht="15">
      <c r="A12" s="82">
        <v>35</v>
      </c>
      <c r="B12" s="83">
        <v>30</v>
      </c>
      <c r="C12" s="30">
        <f>D12/1.31</f>
        <v>81.6793893129771</v>
      </c>
      <c r="D12" s="84">
        <v>107</v>
      </c>
      <c r="E12" s="29">
        <f>(40-B12)/4940+(87-40)/2910+(D12-87)/2000</f>
        <v>0.028175494247116607</v>
      </c>
      <c r="F12" s="30">
        <f>1/E12</f>
        <v>35.49183525333675</v>
      </c>
      <c r="G12" s="28">
        <f>A12*E12</f>
        <v>0.9861422986490812</v>
      </c>
      <c r="H12" s="30">
        <f>F12*1.4</f>
        <v>49.68856935467145</v>
      </c>
      <c r="I12" s="102">
        <f>A12/H12</f>
        <v>0.7043873561779151</v>
      </c>
      <c r="J12" s="91">
        <f>I12/2</f>
        <v>0.3521936780889576</v>
      </c>
      <c r="K12" s="31"/>
      <c r="L12" s="28"/>
      <c r="M12" s="31"/>
    </row>
    <row r="13" spans="2:13" ht="14.25">
      <c r="B13" s="15"/>
      <c r="C13" s="15"/>
      <c r="D13" s="12"/>
      <c r="E13" s="3"/>
      <c r="F13" s="16"/>
      <c r="G13" s="16"/>
      <c r="H13" s="16"/>
      <c r="I13" s="17"/>
      <c r="J13" s="17"/>
      <c r="K13" s="5"/>
      <c r="L13" s="6"/>
      <c r="M13" s="5"/>
    </row>
    <row r="14" spans="1:18" ht="15">
      <c r="A14" s="33" t="s">
        <v>40</v>
      </c>
      <c r="B14" s="35"/>
      <c r="C14" s="35"/>
      <c r="D14" s="22"/>
      <c r="E14" s="36"/>
      <c r="F14" s="37"/>
      <c r="G14" s="37"/>
      <c r="H14" s="37"/>
      <c r="I14" s="33" t="s">
        <v>104</v>
      </c>
      <c r="J14" s="33"/>
      <c r="K14" s="40"/>
      <c r="L14" s="22"/>
      <c r="M14" s="40"/>
      <c r="N14" s="35"/>
      <c r="O14" s="35"/>
      <c r="P14" s="35"/>
      <c r="Q14" s="35"/>
      <c r="R14" s="35"/>
    </row>
    <row r="15" spans="1:18" ht="15">
      <c r="A15" s="34" t="s">
        <v>15</v>
      </c>
      <c r="B15" s="33"/>
      <c r="C15" s="33"/>
      <c r="D15" s="36"/>
      <c r="E15" s="36"/>
      <c r="F15" s="37"/>
      <c r="G15" s="37"/>
      <c r="H15" s="37"/>
      <c r="I15" s="34" t="s">
        <v>13</v>
      </c>
      <c r="J15" s="33" t="s">
        <v>14</v>
      </c>
      <c r="K15" s="38"/>
      <c r="L15" s="22"/>
      <c r="M15" s="38"/>
      <c r="N15" s="35"/>
      <c r="O15" s="34" t="s">
        <v>54</v>
      </c>
      <c r="P15" s="35"/>
      <c r="Q15" s="35"/>
      <c r="R15" s="35"/>
    </row>
    <row r="16" spans="1:18" ht="15">
      <c r="A16" s="34" t="s">
        <v>39</v>
      </c>
      <c r="B16" s="33" t="s">
        <v>33</v>
      </c>
      <c r="C16" s="33"/>
      <c r="D16" s="41" t="s">
        <v>34</v>
      </c>
      <c r="E16" s="36"/>
      <c r="F16" s="37"/>
      <c r="G16" s="37" t="s">
        <v>63</v>
      </c>
      <c r="H16" s="37"/>
      <c r="I16" s="100" t="s">
        <v>12</v>
      </c>
      <c r="J16" s="41" t="s">
        <v>12</v>
      </c>
      <c r="K16" s="38"/>
      <c r="L16" s="22"/>
      <c r="M16" s="38"/>
      <c r="N16" s="35"/>
      <c r="O16" s="35"/>
      <c r="P16" s="35"/>
      <c r="Q16" s="35"/>
      <c r="R16" s="35"/>
    </row>
    <row r="17" spans="1:18" ht="15">
      <c r="A17" s="82">
        <v>1750</v>
      </c>
      <c r="B17" s="83">
        <v>15</v>
      </c>
      <c r="C17" s="35"/>
      <c r="D17" s="83">
        <v>30</v>
      </c>
      <c r="E17" s="42">
        <f>(D17-B17)/4940</f>
        <v>0.003036437246963563</v>
      </c>
      <c r="F17" s="37">
        <f>1/E17</f>
        <v>329.3333333333333</v>
      </c>
      <c r="G17" s="22">
        <f>A17*E17</f>
        <v>5.313765182186235</v>
      </c>
      <c r="H17" s="37">
        <f>F17*1.4</f>
        <v>461.0666666666666</v>
      </c>
      <c r="I17" s="101">
        <f>A17/H17</f>
        <v>3.795546558704454</v>
      </c>
      <c r="J17" s="92">
        <f>I17/2</f>
        <v>1.897773279352227</v>
      </c>
      <c r="K17" s="38"/>
      <c r="L17" s="22"/>
      <c r="M17" s="39"/>
      <c r="N17" s="35"/>
      <c r="O17" s="43"/>
      <c r="P17" s="35"/>
      <c r="Q17" s="35"/>
      <c r="R17" s="35"/>
    </row>
    <row r="18" spans="1:18" ht="15">
      <c r="A18" s="18"/>
      <c r="B18" s="16"/>
      <c r="C18" s="15"/>
      <c r="D18" s="16"/>
      <c r="E18" s="68"/>
      <c r="F18" s="16"/>
      <c r="G18" s="17"/>
      <c r="H18" s="16"/>
      <c r="I18" s="69"/>
      <c r="J18" s="69"/>
      <c r="K18" s="70"/>
      <c r="L18" s="17"/>
      <c r="M18" s="71"/>
      <c r="N18" s="15"/>
      <c r="O18" s="72"/>
      <c r="P18" s="15"/>
      <c r="Q18" s="15"/>
      <c r="R18" s="15"/>
    </row>
    <row r="19" spans="1:18" s="2" customFormat="1" ht="15">
      <c r="A19" s="44" t="s">
        <v>103</v>
      </c>
      <c r="B19" s="15"/>
      <c r="C19" s="15"/>
      <c r="D19" s="18"/>
      <c r="E19" s="3"/>
      <c r="F19" s="4"/>
      <c r="G19" s="4"/>
      <c r="H19" s="18"/>
      <c r="I19" s="18"/>
      <c r="J19" s="18"/>
      <c r="K19" s="21"/>
      <c r="L19" s="6"/>
      <c r="M19" s="8"/>
      <c r="N19"/>
      <c r="O19" s="11"/>
      <c r="P19"/>
      <c r="Q19" s="96" t="s">
        <v>9</v>
      </c>
      <c r="R19" s="95" t="s">
        <v>41</v>
      </c>
    </row>
    <row r="20" spans="1:18" s="2" customFormat="1" ht="15">
      <c r="A20" s="44"/>
      <c r="B20" s="45"/>
      <c r="C20" s="45"/>
      <c r="D20" s="46"/>
      <c r="E20" s="46"/>
      <c r="F20" s="47"/>
      <c r="G20" s="47" t="s">
        <v>64</v>
      </c>
      <c r="H20" s="49" t="s">
        <v>16</v>
      </c>
      <c r="I20" s="47"/>
      <c r="J20" s="23"/>
      <c r="K20" s="48" t="s">
        <v>46</v>
      </c>
      <c r="L20" s="49" t="s">
        <v>47</v>
      </c>
      <c r="M20" s="94" t="s">
        <v>50</v>
      </c>
      <c r="N20" s="46"/>
      <c r="O20" s="23"/>
      <c r="P20" s="46"/>
      <c r="Q20" s="96" t="s">
        <v>105</v>
      </c>
      <c r="R20" s="97" t="s">
        <v>42</v>
      </c>
    </row>
    <row r="21" spans="1:18" ht="15">
      <c r="A21" s="45" t="s">
        <v>15</v>
      </c>
      <c r="B21" s="44"/>
      <c r="C21" s="44"/>
      <c r="D21" s="18"/>
      <c r="E21" s="46" t="s">
        <v>5</v>
      </c>
      <c r="F21" s="50" t="s">
        <v>37</v>
      </c>
      <c r="G21" s="50" t="s">
        <v>65</v>
      </c>
      <c r="H21" s="51" t="s">
        <v>58</v>
      </c>
      <c r="I21" s="46" t="s">
        <v>18</v>
      </c>
      <c r="J21" s="46" t="s">
        <v>20</v>
      </c>
      <c r="K21" s="48" t="s">
        <v>45</v>
      </c>
      <c r="L21" s="49" t="s">
        <v>48</v>
      </c>
      <c r="M21" s="48" t="s">
        <v>51</v>
      </c>
      <c r="N21" s="46"/>
      <c r="O21" s="46" t="s">
        <v>23</v>
      </c>
      <c r="P21" s="46" t="s">
        <v>25</v>
      </c>
      <c r="Q21" s="96" t="s">
        <v>22</v>
      </c>
      <c r="R21" s="96" t="s">
        <v>43</v>
      </c>
    </row>
    <row r="22" spans="1:18" ht="15">
      <c r="A22" s="45" t="s">
        <v>16</v>
      </c>
      <c r="B22" s="45" t="s">
        <v>17</v>
      </c>
      <c r="C22" s="52" t="s">
        <v>36</v>
      </c>
      <c r="D22" s="46" t="s">
        <v>4</v>
      </c>
      <c r="E22" s="46" t="s">
        <v>6</v>
      </c>
      <c r="F22" s="50" t="s">
        <v>38</v>
      </c>
      <c r="G22" s="50" t="s">
        <v>63</v>
      </c>
      <c r="H22" s="51" t="s">
        <v>59</v>
      </c>
      <c r="I22" s="46" t="s">
        <v>19</v>
      </c>
      <c r="J22" s="46" t="s">
        <v>21</v>
      </c>
      <c r="K22" s="48" t="s">
        <v>22</v>
      </c>
      <c r="L22" s="49" t="s">
        <v>49</v>
      </c>
      <c r="M22" s="48" t="s">
        <v>52</v>
      </c>
      <c r="N22" s="46"/>
      <c r="O22" s="46" t="s">
        <v>24</v>
      </c>
      <c r="P22" s="46" t="s">
        <v>8</v>
      </c>
      <c r="Q22" s="96" t="s">
        <v>26</v>
      </c>
      <c r="R22" s="96" t="s">
        <v>44</v>
      </c>
    </row>
    <row r="23" spans="1:18" ht="15">
      <c r="A23" s="82">
        <v>85</v>
      </c>
      <c r="B23" s="82">
        <v>49</v>
      </c>
      <c r="C23" s="82">
        <v>20</v>
      </c>
      <c r="D23" s="82">
        <v>15</v>
      </c>
      <c r="E23" s="53">
        <f>1/4.3+C23*(D23-7.3)/4940</f>
        <v>0.26373222860370965</v>
      </c>
      <c r="F23" s="54">
        <f>1/E23</f>
        <v>3.791724679590161</v>
      </c>
      <c r="G23" s="23">
        <f>A23*E23</f>
        <v>22.41723943131532</v>
      </c>
      <c r="H23" s="23">
        <f>F23*2.8</f>
        <v>10.61682910285245</v>
      </c>
      <c r="I23" s="47">
        <f>IF(B23&gt;49,48+(B23-49)*0.43,IF(B23&gt;42,44+(B23-42)*0.57,IF(B23&gt;35,39+(B23-35)*0.714,IF(B23&gt;=21,29+(B23-21)*0.714,0))))</f>
        <v>47.99</v>
      </c>
      <c r="J23" s="55">
        <f>10000/H23</f>
        <v>941.9008164418202</v>
      </c>
      <c r="K23" s="55">
        <f>J23*I23/100</f>
        <v>452.0182018104295</v>
      </c>
      <c r="L23" s="23">
        <f>A23*K23/10000</f>
        <v>3.842154715388651</v>
      </c>
      <c r="M23" s="54">
        <f>A23*(J23-K23)/10000</f>
        <v>4.164002224366821</v>
      </c>
      <c r="N23" s="46"/>
      <c r="O23" s="23">
        <f>365/(115+B23+F24)</f>
        <v>2</v>
      </c>
      <c r="P23" s="55">
        <f>A23*O23</f>
        <v>170</v>
      </c>
      <c r="Q23" s="62">
        <f>A23*O23*(B23+7)/365</f>
        <v>26.08219178082192</v>
      </c>
      <c r="R23" s="98">
        <f>L23/Q23*10000</f>
        <v>1473.0950326857746</v>
      </c>
    </row>
    <row r="24" spans="1:18" ht="14.25">
      <c r="A24" s="52" t="s">
        <v>60</v>
      </c>
      <c r="B24" s="45"/>
      <c r="C24" s="45"/>
      <c r="D24" s="56"/>
      <c r="E24" s="45"/>
      <c r="F24" s="83">
        <v>18.5</v>
      </c>
      <c r="G24" s="81" t="s">
        <v>94</v>
      </c>
      <c r="H24" s="45"/>
      <c r="I24" s="45"/>
      <c r="J24" s="45"/>
      <c r="K24" s="45"/>
      <c r="L24" s="45"/>
      <c r="M24" s="57" t="s">
        <v>86</v>
      </c>
      <c r="N24" s="58"/>
      <c r="O24" s="46"/>
      <c r="P24" s="46"/>
      <c r="Q24" s="46"/>
      <c r="R24" s="46"/>
    </row>
    <row r="25" spans="1:18" ht="15">
      <c r="A25" s="63"/>
      <c r="B25" s="73"/>
      <c r="C25" s="73"/>
      <c r="D25" s="74"/>
      <c r="E25" s="73"/>
      <c r="F25" s="67"/>
      <c r="G25" s="67"/>
      <c r="H25" s="73" t="s">
        <v>83</v>
      </c>
      <c r="I25" s="73"/>
      <c r="J25" s="88" t="s">
        <v>84</v>
      </c>
      <c r="K25" s="73"/>
      <c r="L25" s="73"/>
      <c r="M25" s="75"/>
      <c r="N25" s="76"/>
      <c r="O25" s="77"/>
      <c r="P25" s="77"/>
      <c r="Q25" s="77"/>
      <c r="R25" s="77"/>
    </row>
    <row r="26" spans="1:18" ht="15">
      <c r="A26" s="63"/>
      <c r="B26" s="73"/>
      <c r="C26" s="73"/>
      <c r="D26" s="74"/>
      <c r="E26" s="73"/>
      <c r="F26" s="67"/>
      <c r="G26" s="93" t="s">
        <v>63</v>
      </c>
      <c r="H26" s="73" t="s">
        <v>82</v>
      </c>
      <c r="I26" s="73"/>
      <c r="J26" s="88" t="s">
        <v>85</v>
      </c>
      <c r="K26" s="73"/>
      <c r="L26" s="73"/>
      <c r="M26" s="75"/>
      <c r="N26" s="76"/>
      <c r="O26" s="77"/>
      <c r="P26" s="77"/>
      <c r="Q26" s="77"/>
      <c r="R26" s="77"/>
    </row>
    <row r="27" spans="1:18" ht="15">
      <c r="A27" s="63" t="s">
        <v>81</v>
      </c>
      <c r="B27" s="73"/>
      <c r="C27" s="73"/>
      <c r="D27" s="74"/>
      <c r="E27" s="73"/>
      <c r="F27" s="67"/>
      <c r="G27" s="89">
        <f>G12+G17+G23</f>
        <v>28.717146912150636</v>
      </c>
      <c r="H27" s="79">
        <f>G27/1.4</f>
        <v>20.512247794393314</v>
      </c>
      <c r="I27" s="73"/>
      <c r="J27" s="99">
        <f>G27/2.8</f>
        <v>10.256123897196657</v>
      </c>
      <c r="K27" s="73"/>
      <c r="L27" s="73"/>
      <c r="M27" s="75"/>
      <c r="N27" s="76"/>
      <c r="O27" s="77"/>
      <c r="P27" s="77"/>
      <c r="Q27" s="77"/>
      <c r="R27" s="77"/>
    </row>
    <row r="28" spans="1:18" ht="14.25">
      <c r="A28" s="52"/>
      <c r="B28" s="45"/>
      <c r="C28" s="45"/>
      <c r="D28" s="56"/>
      <c r="E28" s="45"/>
      <c r="F28" s="55"/>
      <c r="G28" s="55"/>
      <c r="H28" s="45"/>
      <c r="I28" s="45"/>
      <c r="J28" s="45"/>
      <c r="K28" s="45"/>
      <c r="L28" s="45"/>
      <c r="M28" s="57"/>
      <c r="N28" s="58"/>
      <c r="O28" s="46"/>
      <c r="P28" s="46"/>
      <c r="Q28" s="46"/>
      <c r="R28" s="46"/>
    </row>
    <row r="29" spans="1:18" ht="15">
      <c r="A29" s="44" t="s">
        <v>100</v>
      </c>
      <c r="B29" s="45"/>
      <c r="C29" s="45"/>
      <c r="D29" s="56"/>
      <c r="E29" s="45"/>
      <c r="F29" s="56"/>
      <c r="G29" s="56"/>
      <c r="H29" s="45"/>
      <c r="I29" s="45"/>
      <c r="J29" s="56"/>
      <c r="K29" s="56"/>
      <c r="L29" s="45"/>
      <c r="M29" s="45"/>
      <c r="N29" s="45"/>
      <c r="O29" s="45"/>
      <c r="P29" s="45"/>
      <c r="Q29" s="45"/>
      <c r="R29" s="45"/>
    </row>
    <row r="30" spans="1:18" ht="14.25">
      <c r="A30" s="52" t="s">
        <v>66</v>
      </c>
      <c r="B30" s="45"/>
      <c r="C30" s="45"/>
      <c r="D30" s="59"/>
      <c r="E30" s="59"/>
      <c r="F30" s="59"/>
      <c r="G30" s="59"/>
      <c r="H30" s="59"/>
      <c r="I30" s="59"/>
      <c r="J30" s="59"/>
      <c r="K30" s="59"/>
      <c r="L30" s="46"/>
      <c r="M30" s="47"/>
      <c r="N30" s="45"/>
      <c r="O30" s="45"/>
      <c r="P30" s="45"/>
      <c r="Q30" s="45"/>
      <c r="R30" s="45"/>
    </row>
    <row r="31" spans="1:18" ht="14.25">
      <c r="A31" s="52"/>
      <c r="B31" s="45"/>
      <c r="C31" s="45"/>
      <c r="D31" s="59"/>
      <c r="E31" s="59"/>
      <c r="F31" s="59"/>
      <c r="G31" s="59"/>
      <c r="H31" s="59"/>
      <c r="I31" s="59"/>
      <c r="J31" s="59"/>
      <c r="K31" s="59"/>
      <c r="L31" s="46"/>
      <c r="M31" s="47"/>
      <c r="N31" s="45"/>
      <c r="O31" s="45"/>
      <c r="P31" s="45"/>
      <c r="Q31" s="45"/>
      <c r="R31" s="45"/>
    </row>
    <row r="32" spans="1:18" ht="14.25">
      <c r="A32" s="52" t="s">
        <v>70</v>
      </c>
      <c r="B32" s="45"/>
      <c r="C32" s="45"/>
      <c r="D32" s="59"/>
      <c r="E32" s="59"/>
      <c r="F32" s="59"/>
      <c r="G32" s="59"/>
      <c r="H32" s="59"/>
      <c r="I32" s="59"/>
      <c r="J32" s="59"/>
      <c r="K32" s="59"/>
      <c r="L32" s="46"/>
      <c r="M32" s="47"/>
      <c r="N32" s="45"/>
      <c r="O32" s="45"/>
      <c r="P32" s="45"/>
      <c r="Q32" s="45"/>
      <c r="R32" s="45"/>
    </row>
    <row r="33" spans="1:18" ht="14.25">
      <c r="A33" s="52"/>
      <c r="B33" s="45"/>
      <c r="C33" s="45"/>
      <c r="D33" s="59"/>
      <c r="E33" s="59"/>
      <c r="F33" s="59"/>
      <c r="G33" s="59"/>
      <c r="H33" s="59"/>
      <c r="I33" s="59"/>
      <c r="J33" s="59"/>
      <c r="K33" s="59"/>
      <c r="L33" s="46"/>
      <c r="M33" s="47"/>
      <c r="N33" s="45"/>
      <c r="O33" s="45"/>
      <c r="P33" s="45"/>
      <c r="Q33" s="45"/>
      <c r="R33" s="45"/>
    </row>
    <row r="34" spans="1:18" ht="15">
      <c r="A34" s="52" t="s">
        <v>97</v>
      </c>
      <c r="B34" s="45" t="s">
        <v>98</v>
      </c>
      <c r="C34" s="45" t="s">
        <v>101</v>
      </c>
      <c r="D34" s="59" t="s">
        <v>72</v>
      </c>
      <c r="E34" s="66" t="s">
        <v>76</v>
      </c>
      <c r="F34" s="59"/>
      <c r="G34" s="66" t="s">
        <v>87</v>
      </c>
      <c r="H34" s="59"/>
      <c r="I34" s="59"/>
      <c r="J34" s="59"/>
      <c r="K34" s="59"/>
      <c r="L34" s="46"/>
      <c r="M34" s="104">
        <f>M23*E37</f>
        <v>3.624224158245196</v>
      </c>
      <c r="N34" s="45"/>
      <c r="O34" s="45"/>
      <c r="P34" s="45"/>
      <c r="Q34" s="45"/>
      <c r="R34" s="45"/>
    </row>
    <row r="35" spans="1:18" ht="14.25">
      <c r="A35" s="52" t="s">
        <v>71</v>
      </c>
      <c r="B35" s="45" t="s">
        <v>71</v>
      </c>
      <c r="C35" s="45" t="s">
        <v>69</v>
      </c>
      <c r="D35" s="59" t="s">
        <v>73</v>
      </c>
      <c r="E35" s="61" t="s">
        <v>77</v>
      </c>
      <c r="F35" s="59"/>
      <c r="G35" s="66" t="s">
        <v>89</v>
      </c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68</v>
      </c>
      <c r="B36" s="45" t="s">
        <v>68</v>
      </c>
      <c r="C36" s="45" t="s">
        <v>67</v>
      </c>
      <c r="D36" s="59" t="s">
        <v>74</v>
      </c>
      <c r="E36" s="61" t="s">
        <v>78</v>
      </c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85">
        <v>14</v>
      </c>
      <c r="B37" s="46">
        <f>(108-A37)</f>
        <v>94</v>
      </c>
      <c r="C37" s="46">
        <f>A37+B37</f>
        <v>108</v>
      </c>
      <c r="D37" s="64">
        <f>A37/C37*100</f>
        <v>12.962962962962962</v>
      </c>
      <c r="E37" s="65">
        <f>B37/C37</f>
        <v>0.8703703703703703</v>
      </c>
      <c r="F37" s="59"/>
      <c r="G37" s="59"/>
      <c r="H37" s="59"/>
      <c r="I37" s="59"/>
      <c r="J37" s="59"/>
      <c r="K37" s="59"/>
      <c r="L37" s="59"/>
      <c r="M37" s="47"/>
      <c r="N37" s="45"/>
      <c r="O37" s="45"/>
      <c r="P37" s="45"/>
      <c r="Q37" s="45"/>
      <c r="R37" s="45"/>
    </row>
    <row r="38" spans="1:18" ht="14.25">
      <c r="A38" s="86"/>
      <c r="B38" s="46"/>
      <c r="C38" s="46"/>
      <c r="D38" s="64"/>
      <c r="E38" s="65"/>
      <c r="F38" s="59"/>
      <c r="G38" s="59"/>
      <c r="H38" s="59"/>
      <c r="I38" s="59"/>
      <c r="J38" s="59"/>
      <c r="K38" s="59"/>
      <c r="L38" s="59"/>
      <c r="M38" s="47"/>
      <c r="N38" s="45"/>
      <c r="O38" s="45"/>
      <c r="P38" s="45"/>
      <c r="Q38" s="45"/>
      <c r="R38" s="45"/>
    </row>
    <row r="39" spans="1:18" ht="14.25">
      <c r="A39" s="52" t="s">
        <v>75</v>
      </c>
      <c r="B39" s="45"/>
      <c r="C39" s="45"/>
      <c r="D39" s="59"/>
      <c r="E39" s="52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5">
      <c r="A40" s="52" t="s">
        <v>88</v>
      </c>
      <c r="B40" s="44"/>
      <c r="C40" s="44"/>
      <c r="D40" s="62"/>
      <c r="E40" s="85">
        <v>280</v>
      </c>
      <c r="F40" s="44"/>
      <c r="G40" s="44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5">
      <c r="A41" s="44" t="s">
        <v>93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04">
        <f>M34*E40/365</f>
        <v>2.780226751530561</v>
      </c>
      <c r="N41" s="45"/>
      <c r="O41" s="45"/>
      <c r="P41" s="45"/>
      <c r="Q41" s="45"/>
      <c r="R41" s="45"/>
    </row>
    <row r="42" spans="1:18" ht="14.25">
      <c r="A42" s="5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6" ht="14.25">
      <c r="H46" s="7"/>
    </row>
    <row r="47" spans="8:9" ht="14.25">
      <c r="H47" s="7"/>
      <c r="I47" s="7"/>
    </row>
    <row r="49" spans="2:4" ht="14.25">
      <c r="B49" s="9"/>
      <c r="C49" s="9"/>
      <c r="D49" s="10"/>
    </row>
    <row r="50" spans="2:3" ht="14.25">
      <c r="B50" s="9"/>
      <c r="C50" s="9"/>
    </row>
    <row r="51" spans="2:3" ht="14.25">
      <c r="B51" s="9"/>
      <c r="C51" s="9"/>
    </row>
    <row r="52" spans="2:3" ht="14.25">
      <c r="B52" s="9"/>
      <c r="C52" s="9"/>
    </row>
    <row r="59" spans="5:7" ht="14.25">
      <c r="E59" s="11"/>
      <c r="F59" s="11"/>
      <c r="G59" s="11"/>
    </row>
    <row r="60" spans="5:7" ht="14.25">
      <c r="E60" s="11"/>
      <c r="F60" s="11"/>
      <c r="G60" s="11"/>
    </row>
  </sheetData>
  <sheetProtection password="DC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95" zoomScaleNormal="95" zoomScalePageLayoutView="0" workbookViewId="0" topLeftCell="A10">
      <selection activeCell="H38" sqref="H38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75390625" style="0" customWidth="1"/>
    <col min="12" max="12" width="11.625" style="0" customWidth="1"/>
    <col min="13" max="13" width="7.625" style="0" bestFit="1" customWidth="1"/>
    <col min="14" max="14" width="15.375" style="0" hidden="1" customWidth="1"/>
    <col min="15" max="15" width="8.75390625" style="0" customWidth="1"/>
    <col min="16" max="16" width="9.00390625" style="0" customWidth="1"/>
    <col min="17" max="17" width="9.75390625" style="0" customWidth="1"/>
    <col min="18" max="18" width="10.00390625" style="0" customWidth="1"/>
  </cols>
  <sheetData>
    <row r="1" spans="1:10" ht="18">
      <c r="A1" s="19" t="s">
        <v>91</v>
      </c>
      <c r="B1" s="1"/>
      <c r="C1" s="1"/>
      <c r="J1" s="7"/>
    </row>
    <row r="2" spans="1:10" ht="15">
      <c r="A2" s="1" t="s">
        <v>30</v>
      </c>
      <c r="B2" s="1"/>
      <c r="C2" s="1"/>
      <c r="J2" s="7"/>
    </row>
    <row r="3" spans="1:10" ht="15">
      <c r="A3" s="7"/>
      <c r="B3" s="1"/>
      <c r="C3" s="1"/>
      <c r="J3" s="7"/>
    </row>
    <row r="4" spans="1:10" ht="15">
      <c r="A4" s="1" t="s">
        <v>55</v>
      </c>
      <c r="B4" s="1"/>
      <c r="C4" s="1"/>
      <c r="J4" s="7"/>
    </row>
    <row r="5" spans="1:3" ht="23.25">
      <c r="A5" s="20" t="s">
        <v>31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32</v>
      </c>
      <c r="B8" s="25"/>
      <c r="C8" s="25"/>
      <c r="D8" s="26"/>
      <c r="E8" s="26"/>
      <c r="F8" s="26"/>
      <c r="G8" s="26"/>
      <c r="H8" s="26"/>
      <c r="I8" s="25"/>
      <c r="J8" s="26"/>
      <c r="K8" s="26"/>
      <c r="L8" s="26"/>
      <c r="M8" s="26"/>
    </row>
    <row r="9" spans="1:13" ht="15">
      <c r="A9" s="24" t="s">
        <v>56</v>
      </c>
      <c r="B9" s="24"/>
      <c r="C9" s="25"/>
      <c r="D9" s="26"/>
      <c r="E9" s="26"/>
      <c r="F9" s="26"/>
      <c r="G9" s="26"/>
      <c r="H9" s="26"/>
      <c r="I9" s="24" t="s">
        <v>104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61</v>
      </c>
      <c r="I10" s="25" t="s">
        <v>13</v>
      </c>
      <c r="J10" s="24" t="s">
        <v>14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57</v>
      </c>
      <c r="D11" s="27" t="s">
        <v>3</v>
      </c>
      <c r="E11" s="27" t="s">
        <v>1</v>
      </c>
      <c r="F11" s="27" t="s">
        <v>2</v>
      </c>
      <c r="G11" s="27" t="s">
        <v>63</v>
      </c>
      <c r="H11" s="60" t="s">
        <v>62</v>
      </c>
      <c r="I11" s="60" t="s">
        <v>12</v>
      </c>
      <c r="J11" s="90" t="s">
        <v>12</v>
      </c>
      <c r="K11" s="27"/>
      <c r="L11" s="27"/>
      <c r="M11" s="27"/>
      <c r="O11" s="3"/>
      <c r="P11" s="3"/>
      <c r="Q11" s="3"/>
    </row>
    <row r="12" spans="1:13" ht="15">
      <c r="A12" s="82">
        <v>1</v>
      </c>
      <c r="B12" s="83">
        <v>32</v>
      </c>
      <c r="C12" s="83">
        <v>85</v>
      </c>
      <c r="D12" s="28">
        <f>C12*1.31</f>
        <v>111.35000000000001</v>
      </c>
      <c r="E12" s="29">
        <f>(40-B12)/4940+(87-40)/2910+(D12-87)/2000</f>
        <v>0.029945635947521462</v>
      </c>
      <c r="F12" s="30">
        <f>1/E12</f>
        <v>33.39384749592429</v>
      </c>
      <c r="G12" s="28">
        <f>A12*E12</f>
        <v>0.029945635947521462</v>
      </c>
      <c r="H12" s="30">
        <f>F12*1.4</f>
        <v>46.751386494294</v>
      </c>
      <c r="I12" s="102">
        <f>A12/H12</f>
        <v>0.021389739962515333</v>
      </c>
      <c r="J12" s="91">
        <f>I12/2</f>
        <v>0.010694869981257666</v>
      </c>
      <c r="K12" s="31"/>
      <c r="L12" s="28"/>
      <c r="M12" s="32"/>
    </row>
    <row r="13" spans="1:13" ht="15">
      <c r="A13" s="82">
        <v>100</v>
      </c>
      <c r="B13" s="83">
        <v>32</v>
      </c>
      <c r="C13" s="30">
        <f>D13/1.31</f>
        <v>81.6793893129771</v>
      </c>
      <c r="D13" s="84">
        <v>107</v>
      </c>
      <c r="E13" s="29">
        <f>(40-B13)/4940+(87-40)/2910+(D13-87)/2000</f>
        <v>0.02777063594752146</v>
      </c>
      <c r="F13" s="30">
        <f>1/E13</f>
        <v>36.009258192347964</v>
      </c>
      <c r="G13" s="28">
        <f>A13*E13</f>
        <v>2.777063594752146</v>
      </c>
      <c r="H13" s="30">
        <f>F13*1.4</f>
        <v>50.41296146928715</v>
      </c>
      <c r="I13" s="102">
        <f>A13/H13</f>
        <v>1.98361685339439</v>
      </c>
      <c r="J13" s="91">
        <f>I13/2</f>
        <v>0.991808426697195</v>
      </c>
      <c r="K13" s="31"/>
      <c r="L13" s="28"/>
      <c r="M13" s="31"/>
    </row>
    <row r="14" spans="2:13" ht="14.25">
      <c r="B14" s="15"/>
      <c r="C14" s="15"/>
      <c r="D14" s="12"/>
      <c r="E14" s="3"/>
      <c r="F14" s="16"/>
      <c r="G14" s="16"/>
      <c r="H14" s="16"/>
      <c r="I14" s="17"/>
      <c r="J14" s="17"/>
      <c r="K14" s="5"/>
      <c r="L14" s="6"/>
      <c r="M14" s="5"/>
    </row>
    <row r="15" spans="1:18" ht="15">
      <c r="A15" s="33" t="s">
        <v>40</v>
      </c>
      <c r="B15" s="35"/>
      <c r="C15" s="35"/>
      <c r="D15" s="22"/>
      <c r="E15" s="36"/>
      <c r="F15" s="37"/>
      <c r="G15" s="37"/>
      <c r="H15" s="37"/>
      <c r="I15" s="33" t="s">
        <v>104</v>
      </c>
      <c r="J15" s="33"/>
      <c r="K15" s="40"/>
      <c r="L15" s="22"/>
      <c r="M15" s="40"/>
      <c r="N15" s="35"/>
      <c r="O15" s="35"/>
      <c r="P15" s="35"/>
      <c r="Q15" s="35"/>
      <c r="R15" s="35"/>
    </row>
    <row r="16" spans="1:18" ht="15">
      <c r="A16" s="34" t="s">
        <v>15</v>
      </c>
      <c r="B16" s="33"/>
      <c r="C16" s="33"/>
      <c r="D16" s="36"/>
      <c r="E16" s="36"/>
      <c r="F16" s="37"/>
      <c r="G16" s="37"/>
      <c r="H16" s="37"/>
      <c r="I16" s="34" t="s">
        <v>13</v>
      </c>
      <c r="J16" s="33" t="s">
        <v>14</v>
      </c>
      <c r="K16" s="38"/>
      <c r="L16" s="22"/>
      <c r="M16" s="38"/>
      <c r="N16" s="35"/>
      <c r="O16" s="34" t="s">
        <v>54</v>
      </c>
      <c r="P16" s="35"/>
      <c r="Q16" s="35"/>
      <c r="R16" s="35"/>
    </row>
    <row r="17" spans="1:18" ht="15">
      <c r="A17" s="34" t="s">
        <v>39</v>
      </c>
      <c r="B17" s="33" t="s">
        <v>33</v>
      </c>
      <c r="C17" s="33"/>
      <c r="D17" s="41" t="s">
        <v>34</v>
      </c>
      <c r="E17" s="36"/>
      <c r="F17" s="37"/>
      <c r="G17" s="37" t="s">
        <v>63</v>
      </c>
      <c r="H17" s="37"/>
      <c r="I17" s="100" t="s">
        <v>12</v>
      </c>
      <c r="J17" s="41" t="s">
        <v>12</v>
      </c>
      <c r="K17" s="38"/>
      <c r="L17" s="22"/>
      <c r="M17" s="38"/>
      <c r="N17" s="35"/>
      <c r="O17" s="35"/>
      <c r="P17" s="35"/>
      <c r="Q17" s="35"/>
      <c r="R17" s="35"/>
    </row>
    <row r="18" spans="1:18" ht="15">
      <c r="A18" s="82">
        <v>1750</v>
      </c>
      <c r="B18" s="83">
        <v>15</v>
      </c>
      <c r="C18" s="35"/>
      <c r="D18" s="83">
        <v>30</v>
      </c>
      <c r="E18" s="42">
        <f>(D18-B18)/4940</f>
        <v>0.003036437246963563</v>
      </c>
      <c r="F18" s="37">
        <f>1/E18</f>
        <v>329.3333333333333</v>
      </c>
      <c r="G18" s="22">
        <f>A18*E18</f>
        <v>5.313765182186235</v>
      </c>
      <c r="H18" s="37">
        <f>F18*1.4</f>
        <v>461.0666666666666</v>
      </c>
      <c r="I18" s="101">
        <f>A18/H18</f>
        <v>3.795546558704454</v>
      </c>
      <c r="J18" s="92">
        <f>I18/2</f>
        <v>1.897773279352227</v>
      </c>
      <c r="K18" s="38"/>
      <c r="L18" s="22"/>
      <c r="M18" s="39"/>
      <c r="N18" s="35"/>
      <c r="O18" s="43"/>
      <c r="P18" s="35"/>
      <c r="Q18" s="35"/>
      <c r="R18" s="35"/>
    </row>
    <row r="19" spans="1:18" ht="15">
      <c r="A19" s="82">
        <v>100</v>
      </c>
      <c r="B19" s="83">
        <v>7.3</v>
      </c>
      <c r="C19" s="35"/>
      <c r="D19" s="83">
        <v>32</v>
      </c>
      <c r="E19" s="42">
        <f>(D19-B19)/4940</f>
        <v>0.005</v>
      </c>
      <c r="F19" s="37">
        <f>1/E19</f>
        <v>200</v>
      </c>
      <c r="G19" s="22">
        <f>A19*E19</f>
        <v>0.5</v>
      </c>
      <c r="H19" s="37">
        <f>F19*1.4</f>
        <v>280</v>
      </c>
      <c r="I19" s="101">
        <f>A19/H19</f>
        <v>0.35714285714285715</v>
      </c>
      <c r="J19" s="92">
        <f>I19/2</f>
        <v>0.17857142857142858</v>
      </c>
      <c r="K19" s="38"/>
      <c r="L19" s="22"/>
      <c r="M19" s="38"/>
      <c r="N19" s="35"/>
      <c r="O19" s="43"/>
      <c r="P19" s="35"/>
      <c r="Q19" s="35"/>
      <c r="R19" s="35"/>
    </row>
    <row r="20" spans="2:18" s="2" customFormat="1" ht="15">
      <c r="B20" s="15"/>
      <c r="C20" s="15"/>
      <c r="D20" s="18"/>
      <c r="E20" s="3"/>
      <c r="F20" s="4"/>
      <c r="G20" s="4"/>
      <c r="H20" s="18"/>
      <c r="I20" s="18"/>
      <c r="J20" s="18"/>
      <c r="K20" s="21"/>
      <c r="L20" s="6"/>
      <c r="M20" s="8"/>
      <c r="N20"/>
      <c r="O20" s="11"/>
      <c r="P20"/>
      <c r="Q20" s="96" t="s">
        <v>106</v>
      </c>
      <c r="R20" s="95" t="s">
        <v>41</v>
      </c>
    </row>
    <row r="21" spans="1:18" s="2" customFormat="1" ht="15">
      <c r="A21" s="44" t="s">
        <v>29</v>
      </c>
      <c r="B21" s="45"/>
      <c r="C21" s="45"/>
      <c r="D21" s="46"/>
      <c r="E21" s="46"/>
      <c r="F21" s="47"/>
      <c r="G21" s="47" t="s">
        <v>64</v>
      </c>
      <c r="H21" s="49" t="s">
        <v>16</v>
      </c>
      <c r="I21" s="47"/>
      <c r="J21" s="23"/>
      <c r="K21" s="48" t="s">
        <v>46</v>
      </c>
      <c r="L21" s="49" t="s">
        <v>47</v>
      </c>
      <c r="M21" s="94" t="s">
        <v>50</v>
      </c>
      <c r="N21" s="46"/>
      <c r="O21" s="23"/>
      <c r="P21" s="46"/>
      <c r="Q21" s="96" t="s">
        <v>105</v>
      </c>
      <c r="R21" s="97" t="s">
        <v>42</v>
      </c>
    </row>
    <row r="22" spans="1:18" ht="15">
      <c r="A22" s="45" t="s">
        <v>15</v>
      </c>
      <c r="B22" s="44" t="s">
        <v>35</v>
      </c>
      <c r="C22" s="44"/>
      <c r="D22" s="82">
        <v>11.5</v>
      </c>
      <c r="E22" s="46" t="s">
        <v>5</v>
      </c>
      <c r="F22" s="50" t="s">
        <v>37</v>
      </c>
      <c r="G22" s="50" t="s">
        <v>65</v>
      </c>
      <c r="H22" s="51" t="s">
        <v>58</v>
      </c>
      <c r="I22" s="46" t="s">
        <v>18</v>
      </c>
      <c r="J22" s="46" t="s">
        <v>20</v>
      </c>
      <c r="K22" s="48" t="s">
        <v>45</v>
      </c>
      <c r="L22" s="49" t="s">
        <v>48</v>
      </c>
      <c r="M22" s="48" t="s">
        <v>51</v>
      </c>
      <c r="N22" s="46"/>
      <c r="O22" s="46" t="s">
        <v>23</v>
      </c>
      <c r="P22" s="46" t="s">
        <v>25</v>
      </c>
      <c r="Q22" s="96" t="s">
        <v>22</v>
      </c>
      <c r="R22" s="96" t="s">
        <v>43</v>
      </c>
    </row>
    <row r="23" spans="1:18" ht="15">
      <c r="A23" s="45" t="s">
        <v>16</v>
      </c>
      <c r="B23" s="45" t="s">
        <v>17</v>
      </c>
      <c r="C23" s="52" t="s">
        <v>36</v>
      </c>
      <c r="D23" s="46" t="s">
        <v>4</v>
      </c>
      <c r="E23" s="46" t="s">
        <v>6</v>
      </c>
      <c r="F23" s="50" t="s">
        <v>38</v>
      </c>
      <c r="G23" s="50" t="s">
        <v>63</v>
      </c>
      <c r="H23" s="51" t="s">
        <v>59</v>
      </c>
      <c r="I23" s="46" t="s">
        <v>19</v>
      </c>
      <c r="J23" s="46" t="s">
        <v>21</v>
      </c>
      <c r="K23" s="48" t="s">
        <v>22</v>
      </c>
      <c r="L23" s="49" t="s">
        <v>49</v>
      </c>
      <c r="M23" s="48" t="s">
        <v>52</v>
      </c>
      <c r="N23" s="46"/>
      <c r="O23" s="46" t="s">
        <v>24</v>
      </c>
      <c r="P23" s="46" t="s">
        <v>8</v>
      </c>
      <c r="Q23" s="96" t="s">
        <v>26</v>
      </c>
      <c r="R23" s="96" t="s">
        <v>44</v>
      </c>
    </row>
    <row r="24" spans="1:18" ht="15">
      <c r="A24" s="82">
        <v>0</v>
      </c>
      <c r="B24" s="46">
        <v>28</v>
      </c>
      <c r="C24" s="46">
        <f>O24*$D$22</f>
        <v>26.45</v>
      </c>
      <c r="D24" s="46">
        <v>7.3</v>
      </c>
      <c r="E24" s="53">
        <f>1/4.3+C24*(D24-7.3)/4940</f>
        <v>0.23255813953488372</v>
      </c>
      <c r="F24" s="54">
        <f>1/E24</f>
        <v>4.3</v>
      </c>
      <c r="G24" s="23">
        <f>A24*E24</f>
        <v>0</v>
      </c>
      <c r="H24" s="23">
        <f>F24*2.8</f>
        <v>12.04</v>
      </c>
      <c r="I24" s="55">
        <v>34</v>
      </c>
      <c r="J24" s="55">
        <f>10000/H24</f>
        <v>830.5647840531562</v>
      </c>
      <c r="K24" s="55">
        <f>J24*I24/100</f>
        <v>282.3920265780731</v>
      </c>
      <c r="L24" s="23">
        <f>A24*K24/10000</f>
        <v>0</v>
      </c>
      <c r="M24" s="54">
        <f>A24*(J24-K24)/10000</f>
        <v>0</v>
      </c>
      <c r="N24" s="46"/>
      <c r="O24" s="46">
        <v>2.3</v>
      </c>
      <c r="P24" s="46">
        <f>A24*O24</f>
        <v>0</v>
      </c>
      <c r="Q24" s="62">
        <f>A24*O24*(B24+7)/365</f>
        <v>0</v>
      </c>
      <c r="R24" s="98" t="e">
        <f>L24/Q24*10000</f>
        <v>#DIV/0!</v>
      </c>
    </row>
    <row r="25" spans="1:18" ht="15">
      <c r="A25" s="82">
        <v>0</v>
      </c>
      <c r="B25" s="46">
        <v>35</v>
      </c>
      <c r="C25" s="46">
        <f>O25*$D$22</f>
        <v>25.3</v>
      </c>
      <c r="D25" s="46">
        <v>9</v>
      </c>
      <c r="E25" s="53">
        <f>1/4.3+C25*(D25-7.3)/4940</f>
        <v>0.24126461726767723</v>
      </c>
      <c r="F25" s="54">
        <f>1/E25</f>
        <v>4.144826586363985</v>
      </c>
      <c r="G25" s="23">
        <f aca="true" t="shared" si="0" ref="G25:G30">A25*E25</f>
        <v>0</v>
      </c>
      <c r="H25" s="23">
        <f aca="true" t="shared" si="1" ref="H25:H30">F25*2.8</f>
        <v>11.605514441819157</v>
      </c>
      <c r="I25" s="55">
        <v>39</v>
      </c>
      <c r="J25" s="55">
        <f>10000/H25</f>
        <v>861.6593473845617</v>
      </c>
      <c r="K25" s="55">
        <f>J25*I25/100</f>
        <v>336.04714547997906</v>
      </c>
      <c r="L25" s="23">
        <f>A25*K25/10000</f>
        <v>0</v>
      </c>
      <c r="M25" s="54">
        <f>A25*(J25-K25)/10000</f>
        <v>0</v>
      </c>
      <c r="N25" s="46"/>
      <c r="O25" s="46">
        <v>2.2</v>
      </c>
      <c r="P25" s="46">
        <f>A25*O25</f>
        <v>0</v>
      </c>
      <c r="Q25" s="62">
        <f>A25*O25*(B25+7)/365</f>
        <v>0</v>
      </c>
      <c r="R25" s="98" t="e">
        <f>L25/Q25*10000</f>
        <v>#DIV/0!</v>
      </c>
    </row>
    <row r="26" spans="1:18" ht="15">
      <c r="A26" s="82">
        <v>0</v>
      </c>
      <c r="B26" s="46">
        <v>42</v>
      </c>
      <c r="C26" s="46">
        <f>O26*$D$22</f>
        <v>24.150000000000002</v>
      </c>
      <c r="D26" s="46">
        <v>12</v>
      </c>
      <c r="E26" s="53">
        <f>1/4.3+C26*(D26-7.3)/4940</f>
        <v>0.255534860182657</v>
      </c>
      <c r="F26" s="54">
        <f>1/E26</f>
        <v>3.913360389596932</v>
      </c>
      <c r="G26" s="23">
        <f t="shared" si="0"/>
        <v>0</v>
      </c>
      <c r="H26" s="23">
        <f t="shared" si="1"/>
        <v>10.957409090871408</v>
      </c>
      <c r="I26" s="55">
        <v>44</v>
      </c>
      <c r="J26" s="55">
        <f>10000/H26</f>
        <v>912.6245006523465</v>
      </c>
      <c r="K26" s="55">
        <f>J26*I26/100</f>
        <v>401.55478028703243</v>
      </c>
      <c r="L26" s="23">
        <f>A26*K26/10000</f>
        <v>0</v>
      </c>
      <c r="M26" s="54">
        <f>A26*(J26-K26)/10000</f>
        <v>0</v>
      </c>
      <c r="N26" s="46"/>
      <c r="O26" s="46">
        <v>2.1</v>
      </c>
      <c r="P26" s="46">
        <f>A26*O26</f>
        <v>0</v>
      </c>
      <c r="Q26" s="62">
        <f>A26*O26*(B26+7)/365</f>
        <v>0</v>
      </c>
      <c r="R26" s="98" t="e">
        <f>L26/Q26*10000</f>
        <v>#DIV/0!</v>
      </c>
    </row>
    <row r="27" spans="1:18" ht="15">
      <c r="A27" s="82">
        <v>85</v>
      </c>
      <c r="B27" s="46">
        <v>49</v>
      </c>
      <c r="C27" s="46">
        <f>O27*$D$22</f>
        <v>23</v>
      </c>
      <c r="D27" s="46">
        <v>15</v>
      </c>
      <c r="E27" s="53">
        <f>1/4.3+C27*(D27-7.3)/4940</f>
        <v>0.2684083419640335</v>
      </c>
      <c r="F27" s="54">
        <f>1/E27</f>
        <v>3.725666619310957</v>
      </c>
      <c r="G27" s="23">
        <f t="shared" si="0"/>
        <v>22.81470906694285</v>
      </c>
      <c r="H27" s="23">
        <f t="shared" si="1"/>
        <v>10.431866534070679</v>
      </c>
      <c r="I27" s="55">
        <v>48</v>
      </c>
      <c r="J27" s="55">
        <f>10000/H27</f>
        <v>958.6012213001197</v>
      </c>
      <c r="K27" s="55">
        <f>J27*I27/100</f>
        <v>460.1285862240575</v>
      </c>
      <c r="L27" s="23">
        <f>A27*K27/10000</f>
        <v>3.9110929829044894</v>
      </c>
      <c r="M27" s="54">
        <f>A27*(J27-K27)/10000</f>
        <v>4.237017398146529</v>
      </c>
      <c r="N27" s="46"/>
      <c r="O27" s="46">
        <v>2</v>
      </c>
      <c r="P27" s="46">
        <f>A27*O27</f>
        <v>170</v>
      </c>
      <c r="Q27" s="62">
        <f>A27*O27*(B27+7)/365</f>
        <v>26.08219178082192</v>
      </c>
      <c r="R27" s="98">
        <f>L27/Q27*10000</f>
        <v>1499.5261961766162</v>
      </c>
    </row>
    <row r="28" spans="1:18" ht="15">
      <c r="A28" s="82">
        <v>0</v>
      </c>
      <c r="B28" s="46">
        <v>56</v>
      </c>
      <c r="C28" s="46">
        <f>O28*$D$22</f>
        <v>21.849999999999998</v>
      </c>
      <c r="D28" s="46">
        <v>18</v>
      </c>
      <c r="E28" s="53">
        <f>1/4.3+C28*(D28-7.3)/4940</f>
        <v>0.2798850626118068</v>
      </c>
      <c r="F28" s="54">
        <f>1/E28</f>
        <v>3.5728952115853843</v>
      </c>
      <c r="G28" s="23">
        <f t="shared" si="0"/>
        <v>0</v>
      </c>
      <c r="H28" s="23">
        <f t="shared" si="1"/>
        <v>10.004106592439076</v>
      </c>
      <c r="I28" s="55">
        <v>51</v>
      </c>
      <c r="J28" s="55">
        <f>10000/H28</f>
        <v>999.5895093278815</v>
      </c>
      <c r="K28" s="55">
        <f>J28*I28/100</f>
        <v>509.79064975721957</v>
      </c>
      <c r="L28" s="23">
        <f>A28*K28/10000</f>
        <v>0</v>
      </c>
      <c r="M28" s="54">
        <f>A28*(J28-K28)/10000</f>
        <v>0</v>
      </c>
      <c r="N28" s="46"/>
      <c r="O28" s="46">
        <v>1.9</v>
      </c>
      <c r="P28" s="46">
        <f>A28*O28</f>
        <v>0</v>
      </c>
      <c r="Q28" s="62">
        <f>A28*O28*(B28+7)/365</f>
        <v>0</v>
      </c>
      <c r="R28" s="98" t="e">
        <f>L28/Q28*10000</f>
        <v>#DIV/0!</v>
      </c>
    </row>
    <row r="29" spans="1:18" ht="15">
      <c r="A29" s="44" t="s">
        <v>28</v>
      </c>
      <c r="B29" s="45"/>
      <c r="C29" s="45"/>
      <c r="D29" s="45"/>
      <c r="E29" s="53"/>
      <c r="F29" s="54"/>
      <c r="G29" s="23"/>
      <c r="H29" s="23"/>
      <c r="I29" s="55"/>
      <c r="J29" s="55"/>
      <c r="K29" s="55"/>
      <c r="L29" s="23"/>
      <c r="M29" s="54"/>
      <c r="N29" s="46"/>
      <c r="O29" s="46"/>
      <c r="P29" s="46"/>
      <c r="Q29" s="62"/>
      <c r="R29" s="98"/>
    </row>
    <row r="30" spans="1:18" ht="15">
      <c r="A30" s="82">
        <v>85</v>
      </c>
      <c r="B30" s="82">
        <v>49</v>
      </c>
      <c r="C30" s="82">
        <v>20</v>
      </c>
      <c r="D30" s="82">
        <v>15</v>
      </c>
      <c r="E30" s="53">
        <f>1/4.3+C30*(D30-7.3)/4940</f>
        <v>0.26373222860370965</v>
      </c>
      <c r="F30" s="54">
        <f>1/E30</f>
        <v>3.791724679590161</v>
      </c>
      <c r="G30" s="23">
        <f t="shared" si="0"/>
        <v>22.41723943131532</v>
      </c>
      <c r="H30" s="23">
        <f t="shared" si="1"/>
        <v>10.61682910285245</v>
      </c>
      <c r="I30" s="47">
        <f>IF(B30&gt;49,48+(B30-49)*0.43,IF(B30&gt;42,44+(B30-42)*0.57,IF(B30&gt;35,39+(B30-35)*0.714,IF(B30&gt;=21,29+(B30-21)*0.714,0))))</f>
        <v>47.99</v>
      </c>
      <c r="J30" s="55">
        <f>10000/H30</f>
        <v>941.9008164418202</v>
      </c>
      <c r="K30" s="55">
        <f>J30*I30/100</f>
        <v>452.0182018104295</v>
      </c>
      <c r="L30" s="23">
        <f>A30*K30/10000</f>
        <v>3.842154715388651</v>
      </c>
      <c r="M30" s="54">
        <f>A30*(J30-K30)/10000</f>
        <v>4.164002224366821</v>
      </c>
      <c r="N30" s="46"/>
      <c r="O30" s="23">
        <f>365/(115+B30+F31)</f>
        <v>2</v>
      </c>
      <c r="P30" s="55">
        <f>A30*O30</f>
        <v>170</v>
      </c>
      <c r="Q30" s="62">
        <f>A30*O30*(B30+7)/365</f>
        <v>26.08219178082192</v>
      </c>
      <c r="R30" s="98">
        <f>L30/Q30*10000</f>
        <v>1473.0950326857746</v>
      </c>
    </row>
    <row r="31" spans="1:18" ht="14.25">
      <c r="A31" s="52" t="s">
        <v>60</v>
      </c>
      <c r="B31" s="45"/>
      <c r="C31" s="45"/>
      <c r="D31" s="56"/>
      <c r="E31" s="45"/>
      <c r="F31" s="83">
        <v>18.5</v>
      </c>
      <c r="G31" s="81" t="s">
        <v>95</v>
      </c>
      <c r="H31" s="45"/>
      <c r="I31" s="45"/>
      <c r="J31" s="45"/>
      <c r="K31" s="45"/>
      <c r="L31" s="45"/>
      <c r="M31" s="57" t="s">
        <v>53</v>
      </c>
      <c r="N31" s="58"/>
      <c r="O31" s="46"/>
      <c r="P31" s="46"/>
      <c r="Q31" s="46"/>
      <c r="R31" s="46"/>
    </row>
    <row r="32" spans="1:18" ht="14.25">
      <c r="A32" s="52"/>
      <c r="B32" s="45"/>
      <c r="C32" s="45"/>
      <c r="D32" s="56"/>
      <c r="E32" s="45"/>
      <c r="F32" s="55"/>
      <c r="G32" s="55"/>
      <c r="H32" s="45"/>
      <c r="I32" s="45"/>
      <c r="J32" s="45"/>
      <c r="K32" s="45"/>
      <c r="L32" s="45"/>
      <c r="M32" s="57"/>
      <c r="N32" s="58"/>
      <c r="O32" s="46"/>
      <c r="P32" s="46"/>
      <c r="Q32" s="46"/>
      <c r="R32" s="46"/>
    </row>
    <row r="33" spans="1:18" ht="15">
      <c r="A33" s="44" t="s">
        <v>100</v>
      </c>
      <c r="B33" s="45"/>
      <c r="C33" s="45"/>
      <c r="D33" s="56"/>
      <c r="E33" s="45"/>
      <c r="F33" s="56"/>
      <c r="G33" s="56"/>
      <c r="H33" s="45"/>
      <c r="I33" s="45"/>
      <c r="J33" s="56"/>
      <c r="K33" s="56"/>
      <c r="L33" s="45"/>
      <c r="M33" s="45"/>
      <c r="N33" s="45"/>
      <c r="O33" s="45"/>
      <c r="P33" s="45"/>
      <c r="Q33" s="45"/>
      <c r="R33" s="45"/>
    </row>
    <row r="34" spans="1:18" ht="14.25">
      <c r="A34" s="52" t="s">
        <v>66</v>
      </c>
      <c r="B34" s="45"/>
      <c r="C34" s="45"/>
      <c r="D34" s="59"/>
      <c r="E34" s="59"/>
      <c r="F34" s="59"/>
      <c r="G34" s="59"/>
      <c r="H34" s="59"/>
      <c r="I34" s="59"/>
      <c r="J34" s="59"/>
      <c r="K34" s="59"/>
      <c r="L34" s="46"/>
      <c r="M34" s="47"/>
      <c r="N34" s="45"/>
      <c r="O34" s="45"/>
      <c r="P34" s="45"/>
      <c r="Q34" s="45"/>
      <c r="R34" s="45"/>
    </row>
    <row r="35" spans="1:18" ht="14.25">
      <c r="A35" s="52"/>
      <c r="B35" s="45"/>
      <c r="C35" s="45"/>
      <c r="D35" s="59"/>
      <c r="E35" s="59"/>
      <c r="F35" s="59"/>
      <c r="G35" s="59"/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70</v>
      </c>
      <c r="B36" s="45"/>
      <c r="C36" s="45"/>
      <c r="D36" s="59"/>
      <c r="E36" s="59"/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52"/>
      <c r="B37" s="45"/>
      <c r="C37" s="45"/>
      <c r="D37" s="59"/>
      <c r="E37" s="59"/>
      <c r="F37" s="59"/>
      <c r="G37" s="59"/>
      <c r="H37" s="59"/>
      <c r="I37" s="59"/>
      <c r="J37" s="59"/>
      <c r="K37" s="59"/>
      <c r="L37" s="46"/>
      <c r="M37" s="47"/>
      <c r="N37" s="45"/>
      <c r="O37" s="45"/>
      <c r="P37" s="45"/>
      <c r="Q37" s="45"/>
      <c r="R37" s="45"/>
    </row>
    <row r="38" spans="1:18" ht="14.25">
      <c r="A38" s="52" t="s">
        <v>97</v>
      </c>
      <c r="B38" s="45" t="s">
        <v>99</v>
      </c>
      <c r="C38" s="45" t="s">
        <v>101</v>
      </c>
      <c r="D38" s="59" t="s">
        <v>72</v>
      </c>
      <c r="E38" s="66" t="s">
        <v>76</v>
      </c>
      <c r="F38" s="59"/>
      <c r="G38" s="59"/>
      <c r="H38" s="59"/>
      <c r="I38" s="59"/>
      <c r="J38" s="59"/>
      <c r="K38" s="59"/>
      <c r="L38" s="46"/>
      <c r="M38" s="47"/>
      <c r="N38" s="45"/>
      <c r="O38" s="45"/>
      <c r="P38" s="45"/>
      <c r="Q38" s="45"/>
      <c r="R38" s="45"/>
    </row>
    <row r="39" spans="1:18" ht="14.25">
      <c r="A39" s="52" t="s">
        <v>71</v>
      </c>
      <c r="B39" s="45" t="s">
        <v>71</v>
      </c>
      <c r="C39" s="45" t="s">
        <v>69</v>
      </c>
      <c r="D39" s="59" t="s">
        <v>73</v>
      </c>
      <c r="E39" s="61" t="s">
        <v>77</v>
      </c>
      <c r="F39" s="59"/>
      <c r="G39" s="59"/>
      <c r="H39" s="59"/>
      <c r="I39" s="59"/>
      <c r="J39" s="59"/>
      <c r="K39" s="59"/>
      <c r="L39" s="46"/>
      <c r="M39" s="47"/>
      <c r="N39" s="45"/>
      <c r="O39" s="45"/>
      <c r="P39" s="45"/>
      <c r="Q39" s="45"/>
      <c r="R39" s="45"/>
    </row>
    <row r="40" spans="1:18" ht="14.25">
      <c r="A40" s="52" t="s">
        <v>68</v>
      </c>
      <c r="B40" s="45" t="s">
        <v>68</v>
      </c>
      <c r="C40" s="45" t="s">
        <v>67</v>
      </c>
      <c r="D40" s="59" t="s">
        <v>74</v>
      </c>
      <c r="E40" s="61" t="s">
        <v>78</v>
      </c>
      <c r="F40" s="59"/>
      <c r="G40" s="59"/>
      <c r="H40" s="59"/>
      <c r="I40" s="59"/>
      <c r="J40" s="59"/>
      <c r="K40" s="59"/>
      <c r="L40" s="46"/>
      <c r="M40" s="47"/>
      <c r="N40" s="45"/>
      <c r="O40" s="45"/>
      <c r="P40" s="45"/>
      <c r="Q40" s="45"/>
      <c r="R40" s="45"/>
    </row>
    <row r="41" spans="1:18" ht="15">
      <c r="A41" s="85">
        <v>14</v>
      </c>
      <c r="B41" s="46">
        <f>(108-A41)</f>
        <v>94</v>
      </c>
      <c r="C41" s="46">
        <f>A41+B41</f>
        <v>108</v>
      </c>
      <c r="D41" s="64">
        <f>A41/C41*100</f>
        <v>12.962962962962962</v>
      </c>
      <c r="E41" s="105">
        <f>B41/C41</f>
        <v>0.8703703703703703</v>
      </c>
      <c r="F41" s="59"/>
      <c r="G41" s="59"/>
      <c r="H41" s="59"/>
      <c r="I41" s="59"/>
      <c r="J41" s="59"/>
      <c r="K41" s="59"/>
      <c r="L41" s="59"/>
      <c r="M41" s="47"/>
      <c r="N41" s="45"/>
      <c r="O41" s="45"/>
      <c r="P41" s="45"/>
      <c r="Q41" s="45"/>
      <c r="R41" s="45"/>
    </row>
    <row r="42" spans="1:18" ht="14.25">
      <c r="A42" s="86"/>
      <c r="B42" s="46"/>
      <c r="C42" s="46"/>
      <c r="D42" s="64"/>
      <c r="E42" s="65"/>
      <c r="F42" s="59"/>
      <c r="G42" s="59"/>
      <c r="H42" s="59"/>
      <c r="I42" s="59"/>
      <c r="J42" s="59"/>
      <c r="K42" s="59"/>
      <c r="L42" s="59"/>
      <c r="M42" s="47"/>
      <c r="N42" s="45"/>
      <c r="O42" s="45"/>
      <c r="P42" s="45"/>
      <c r="Q42" s="45"/>
      <c r="R42" s="45"/>
    </row>
    <row r="43" spans="1:18" ht="14.25">
      <c r="A43" s="52" t="s">
        <v>75</v>
      </c>
      <c r="B43" s="45"/>
      <c r="C43" s="45"/>
      <c r="D43" s="59"/>
      <c r="E43" s="52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4.25">
      <c r="A44" s="52"/>
      <c r="B44" s="45"/>
      <c r="C44" s="45"/>
      <c r="D44" s="59"/>
      <c r="E44" s="45"/>
      <c r="F44" s="45"/>
      <c r="G44" s="45"/>
      <c r="H44" s="45"/>
      <c r="I44" s="45"/>
      <c r="J44" s="45"/>
      <c r="K44" s="45"/>
      <c r="L44" s="59"/>
      <c r="M44" s="45"/>
      <c r="N44" s="45"/>
      <c r="O44" s="45"/>
      <c r="P44" s="45"/>
      <c r="Q44" s="45"/>
      <c r="R44" s="45"/>
    </row>
    <row r="48" ht="14.25">
      <c r="H48" s="7"/>
    </row>
    <row r="49" spans="8:9" ht="14.25">
      <c r="H49" s="7"/>
      <c r="I49" s="7"/>
    </row>
    <row r="51" spans="2:4" ht="14.25">
      <c r="B51" s="9"/>
      <c r="C51" s="9"/>
      <c r="D51" s="10"/>
    </row>
    <row r="52" spans="2:3" ht="14.25">
      <c r="B52" s="9"/>
      <c r="C52" s="9"/>
    </row>
    <row r="53" spans="2:3" ht="14.25">
      <c r="B53" s="9"/>
      <c r="C53" s="9"/>
    </row>
    <row r="54" spans="2:3" ht="14.25">
      <c r="B54" s="9"/>
      <c r="C54" s="9"/>
    </row>
    <row r="61" spans="5:7" ht="14.25">
      <c r="E61" s="11"/>
      <c r="F61" s="11"/>
      <c r="G61" s="11"/>
    </row>
    <row r="62" spans="5:7" ht="14.25">
      <c r="E62" s="11"/>
      <c r="F62" s="11"/>
      <c r="G62" s="11"/>
    </row>
  </sheetData>
  <sheetProtection password="DC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95" zoomScaleNormal="95" zoomScalePageLayoutView="0" workbookViewId="0" topLeftCell="A16">
      <selection activeCell="E44" sqref="E44"/>
    </sheetView>
  </sheetViews>
  <sheetFormatPr defaultColWidth="9.00390625" defaultRowHeight="14.25"/>
  <cols>
    <col min="2" max="2" width="11.625" style="0" customWidth="1"/>
    <col min="3" max="3" width="13.50390625" style="0" customWidth="1"/>
    <col min="4" max="4" width="9.875" style="0" bestFit="1" customWidth="1"/>
    <col min="5" max="5" width="14.00390625" style="0" customWidth="1"/>
    <col min="6" max="7" width="12.125" style="0" customWidth="1"/>
    <col min="8" max="8" width="9.75390625" style="0" customWidth="1"/>
    <col min="9" max="9" width="10.375" style="0" customWidth="1"/>
    <col min="10" max="10" width="8.875" style="0" bestFit="1" customWidth="1"/>
    <col min="11" max="11" width="9.75390625" style="0" customWidth="1"/>
    <col min="12" max="12" width="11.625" style="0" customWidth="1"/>
    <col min="13" max="13" width="7.625" style="0" bestFit="1" customWidth="1"/>
    <col min="14" max="14" width="15.375" style="0" hidden="1" customWidth="1"/>
    <col min="15" max="15" width="8.25390625" style="0" customWidth="1"/>
    <col min="16" max="16" width="8.75390625" style="0" customWidth="1"/>
    <col min="17" max="17" width="9.875" style="0" customWidth="1"/>
    <col min="18" max="18" width="10.00390625" style="0" customWidth="1"/>
  </cols>
  <sheetData>
    <row r="1" spans="1:10" ht="18">
      <c r="A1" s="19" t="s">
        <v>27</v>
      </c>
      <c r="B1" s="1"/>
      <c r="C1" s="1"/>
      <c r="J1" s="7"/>
    </row>
    <row r="2" spans="1:10" ht="15">
      <c r="A2" s="1" t="s">
        <v>30</v>
      </c>
      <c r="B2" s="1"/>
      <c r="C2" s="1"/>
      <c r="J2" s="7"/>
    </row>
    <row r="3" spans="1:10" ht="20.25">
      <c r="A3" s="80" t="s">
        <v>90</v>
      </c>
      <c r="B3" s="1"/>
      <c r="C3" s="1"/>
      <c r="J3" s="7"/>
    </row>
    <row r="4" spans="1:10" ht="15">
      <c r="A4" s="1" t="s">
        <v>55</v>
      </c>
      <c r="B4" s="1"/>
      <c r="C4" s="1"/>
      <c r="J4" s="7"/>
    </row>
    <row r="5" spans="1:3" ht="23.25">
      <c r="A5" s="20" t="s">
        <v>31</v>
      </c>
      <c r="B5" s="14"/>
      <c r="C5" s="13"/>
    </row>
    <row r="6" spans="1:3" ht="14.25">
      <c r="A6" s="7" t="s">
        <v>7</v>
      </c>
      <c r="B6" s="7"/>
      <c r="C6" s="7"/>
    </row>
    <row r="7" spans="1:3" ht="14.25">
      <c r="A7" s="7"/>
      <c r="B7" s="7"/>
      <c r="C7" s="7"/>
    </row>
    <row r="8" spans="1:13" ht="15">
      <c r="A8" s="24" t="s">
        <v>79</v>
      </c>
      <c r="B8" s="25"/>
      <c r="C8" s="25"/>
      <c r="D8" s="26"/>
      <c r="E8" s="26"/>
      <c r="F8" s="26"/>
      <c r="G8" s="26"/>
      <c r="H8" s="26"/>
      <c r="I8" s="25" t="s">
        <v>102</v>
      </c>
      <c r="J8" s="26"/>
      <c r="K8" s="26"/>
      <c r="L8" s="26"/>
      <c r="M8" s="26"/>
    </row>
    <row r="9" spans="1:13" ht="15">
      <c r="A9" s="24" t="s">
        <v>56</v>
      </c>
      <c r="B9" s="24"/>
      <c r="C9" s="25"/>
      <c r="D9" s="26"/>
      <c r="E9" s="26"/>
      <c r="F9" s="26"/>
      <c r="G9" s="26"/>
      <c r="H9" s="26"/>
      <c r="I9" s="24" t="s">
        <v>11</v>
      </c>
      <c r="J9" s="24"/>
      <c r="K9" s="26"/>
      <c r="L9" s="26"/>
      <c r="M9" s="26"/>
    </row>
    <row r="10" spans="1:13" ht="15">
      <c r="A10" s="26" t="s">
        <v>9</v>
      </c>
      <c r="B10" s="24"/>
      <c r="C10" s="24"/>
      <c r="D10" s="26"/>
      <c r="E10" s="26"/>
      <c r="F10" s="26"/>
      <c r="G10" s="26"/>
      <c r="H10" s="25" t="s">
        <v>61</v>
      </c>
      <c r="I10" s="25" t="s">
        <v>13</v>
      </c>
      <c r="J10" s="24" t="s">
        <v>14</v>
      </c>
      <c r="K10" s="26"/>
      <c r="L10" s="26"/>
      <c r="M10" s="26"/>
    </row>
    <row r="11" spans="1:17" ht="15">
      <c r="A11" s="26" t="s">
        <v>10</v>
      </c>
      <c r="B11" s="26" t="s">
        <v>0</v>
      </c>
      <c r="C11" s="25" t="s">
        <v>57</v>
      </c>
      <c r="D11" s="27" t="s">
        <v>3</v>
      </c>
      <c r="E11" s="27" t="s">
        <v>1</v>
      </c>
      <c r="F11" s="27" t="s">
        <v>2</v>
      </c>
      <c r="G11" s="27" t="s">
        <v>63</v>
      </c>
      <c r="H11" s="60" t="s">
        <v>62</v>
      </c>
      <c r="I11" s="60" t="s">
        <v>12</v>
      </c>
      <c r="J11" s="90" t="s">
        <v>12</v>
      </c>
      <c r="K11" s="27"/>
      <c r="L11" s="27"/>
      <c r="M11" s="27"/>
      <c r="O11" s="3"/>
      <c r="P11" s="3"/>
      <c r="Q11" s="3"/>
    </row>
    <row r="12" spans="1:13" ht="15">
      <c r="A12" s="82">
        <v>35</v>
      </c>
      <c r="B12" s="83">
        <v>30</v>
      </c>
      <c r="C12" s="30">
        <f>D12/1.31</f>
        <v>81.6793893129771</v>
      </c>
      <c r="D12" s="84">
        <v>107</v>
      </c>
      <c r="E12" s="29">
        <f>(40-B12)/4000+(87-40)/2500+(D12-87)/2000</f>
        <v>0.0313</v>
      </c>
      <c r="F12" s="30">
        <f>1/E12</f>
        <v>31.948881789137378</v>
      </c>
      <c r="G12" s="28">
        <f>A12*E12</f>
        <v>1.0955000000000001</v>
      </c>
      <c r="H12" s="30">
        <f>F12*1.4</f>
        <v>44.728434504792325</v>
      </c>
      <c r="I12" s="102">
        <f>A12/H12</f>
        <v>0.7825000000000001</v>
      </c>
      <c r="J12" s="91">
        <f>I12/2</f>
        <v>0.39125000000000004</v>
      </c>
      <c r="K12" s="31"/>
      <c r="L12" s="28"/>
      <c r="M12" s="31"/>
    </row>
    <row r="13" spans="2:13" ht="14.25">
      <c r="B13" s="15"/>
      <c r="C13" s="15"/>
      <c r="D13" s="12"/>
      <c r="E13" s="3"/>
      <c r="F13" s="16"/>
      <c r="G13" s="16"/>
      <c r="H13" s="16"/>
      <c r="I13" s="17"/>
      <c r="J13" s="17"/>
      <c r="K13" s="5"/>
      <c r="L13" s="6"/>
      <c r="M13" s="5"/>
    </row>
    <row r="14" spans="1:18" ht="15">
      <c r="A14" s="33" t="s">
        <v>40</v>
      </c>
      <c r="B14" s="35"/>
      <c r="C14" s="35"/>
      <c r="D14" s="22"/>
      <c r="E14" s="36"/>
      <c r="F14" s="37"/>
      <c r="G14" s="37"/>
      <c r="H14" s="37"/>
      <c r="I14" s="33" t="s">
        <v>104</v>
      </c>
      <c r="J14" s="33"/>
      <c r="K14" s="40"/>
      <c r="L14" s="22"/>
      <c r="M14" s="40"/>
      <c r="N14" s="35"/>
      <c r="O14" s="35"/>
      <c r="P14" s="35"/>
      <c r="Q14" s="35"/>
      <c r="R14" s="35"/>
    </row>
    <row r="15" spans="1:18" ht="15">
      <c r="A15" s="34" t="s">
        <v>15</v>
      </c>
      <c r="B15" s="33"/>
      <c r="C15" s="33"/>
      <c r="D15" s="36"/>
      <c r="E15" s="36"/>
      <c r="F15" s="37"/>
      <c r="G15" s="37"/>
      <c r="H15" s="37"/>
      <c r="I15" s="34" t="s">
        <v>13</v>
      </c>
      <c r="J15" s="33" t="s">
        <v>14</v>
      </c>
      <c r="K15" s="38"/>
      <c r="L15" s="22"/>
      <c r="M15" s="38"/>
      <c r="N15" s="35"/>
      <c r="O15" s="34" t="s">
        <v>54</v>
      </c>
      <c r="P15" s="35"/>
      <c r="Q15" s="35"/>
      <c r="R15" s="35"/>
    </row>
    <row r="16" spans="1:18" ht="15">
      <c r="A16" s="34" t="s">
        <v>39</v>
      </c>
      <c r="B16" s="33" t="s">
        <v>33</v>
      </c>
      <c r="C16" s="33"/>
      <c r="D16" s="41" t="s">
        <v>34</v>
      </c>
      <c r="E16" s="36"/>
      <c r="F16" s="37"/>
      <c r="G16" s="37" t="s">
        <v>63</v>
      </c>
      <c r="H16" s="37"/>
      <c r="I16" s="100" t="s">
        <v>12</v>
      </c>
      <c r="J16" s="41" t="s">
        <v>12</v>
      </c>
      <c r="K16" s="38"/>
      <c r="L16" s="22"/>
      <c r="M16" s="38"/>
      <c r="N16" s="35"/>
      <c r="O16" s="35"/>
      <c r="P16" s="35"/>
      <c r="Q16" s="35"/>
      <c r="R16" s="35"/>
    </row>
    <row r="17" spans="1:18" ht="15">
      <c r="A17" s="82">
        <v>1750</v>
      </c>
      <c r="B17" s="83">
        <v>15</v>
      </c>
      <c r="C17" s="35"/>
      <c r="D17" s="83">
        <v>30</v>
      </c>
      <c r="E17" s="42">
        <f>(D17-B17)/4000</f>
        <v>0.00375</v>
      </c>
      <c r="F17" s="37">
        <f>1/E17</f>
        <v>266.6666666666667</v>
      </c>
      <c r="G17" s="22">
        <f>A17*E17</f>
        <v>6.5625</v>
      </c>
      <c r="H17" s="37">
        <f>F17*1.4</f>
        <v>373.3333333333333</v>
      </c>
      <c r="I17" s="101">
        <f>A17/H17</f>
        <v>4.6875</v>
      </c>
      <c r="J17" s="92">
        <f>I17/2</f>
        <v>2.34375</v>
      </c>
      <c r="K17" s="38"/>
      <c r="L17" s="22"/>
      <c r="M17" s="39"/>
      <c r="N17" s="35"/>
      <c r="O17" s="43"/>
      <c r="P17" s="35"/>
      <c r="Q17" s="35"/>
      <c r="R17" s="35"/>
    </row>
    <row r="18" spans="1:18" ht="15">
      <c r="A18" s="18"/>
      <c r="B18" s="16"/>
      <c r="C18" s="15"/>
      <c r="D18" s="16"/>
      <c r="E18" s="68"/>
      <c r="F18" s="16"/>
      <c r="G18" s="17"/>
      <c r="H18" s="16"/>
      <c r="I18" s="69"/>
      <c r="J18" s="69"/>
      <c r="K18" s="70"/>
      <c r="L18" s="17"/>
      <c r="M18" s="71"/>
      <c r="N18" s="15"/>
      <c r="O18" s="72"/>
      <c r="P18" s="15"/>
      <c r="Q18" s="15"/>
      <c r="R18" s="15"/>
    </row>
    <row r="19" spans="1:18" s="2" customFormat="1" ht="15">
      <c r="A19" s="44" t="s">
        <v>80</v>
      </c>
      <c r="B19" s="15"/>
      <c r="C19" s="15"/>
      <c r="D19" s="18"/>
      <c r="E19" s="3"/>
      <c r="F19" s="4"/>
      <c r="G19" s="4"/>
      <c r="H19" s="18"/>
      <c r="I19" s="18"/>
      <c r="J19" s="18"/>
      <c r="K19" s="21"/>
      <c r="L19" s="6"/>
      <c r="M19" s="8"/>
      <c r="N19"/>
      <c r="O19" s="11"/>
      <c r="P19"/>
      <c r="Q19" s="96" t="s">
        <v>9</v>
      </c>
      <c r="R19" s="95" t="s">
        <v>41</v>
      </c>
    </row>
    <row r="20" spans="1:18" s="2" customFormat="1" ht="15">
      <c r="A20" s="44"/>
      <c r="B20" s="45"/>
      <c r="C20" s="45"/>
      <c r="D20" s="46"/>
      <c r="E20" s="46"/>
      <c r="F20" s="47"/>
      <c r="G20" s="47" t="s">
        <v>64</v>
      </c>
      <c r="H20" s="49" t="s">
        <v>16</v>
      </c>
      <c r="I20" s="47"/>
      <c r="J20" s="23"/>
      <c r="K20" s="48" t="s">
        <v>46</v>
      </c>
      <c r="L20" s="49" t="s">
        <v>47</v>
      </c>
      <c r="M20" s="94" t="s">
        <v>50</v>
      </c>
      <c r="N20" s="46"/>
      <c r="O20" s="23"/>
      <c r="P20" s="46"/>
      <c r="Q20" s="96" t="s">
        <v>105</v>
      </c>
      <c r="R20" s="97" t="s">
        <v>42</v>
      </c>
    </row>
    <row r="21" spans="1:18" ht="15">
      <c r="A21" s="45" t="s">
        <v>15</v>
      </c>
      <c r="B21" s="44"/>
      <c r="C21" s="44"/>
      <c r="D21" s="18"/>
      <c r="E21" s="46" t="s">
        <v>5</v>
      </c>
      <c r="F21" s="50" t="s">
        <v>37</v>
      </c>
      <c r="G21" s="50" t="s">
        <v>65</v>
      </c>
      <c r="H21" s="51" t="s">
        <v>58</v>
      </c>
      <c r="I21" s="46" t="s">
        <v>18</v>
      </c>
      <c r="J21" s="46" t="s">
        <v>20</v>
      </c>
      <c r="K21" s="48" t="s">
        <v>45</v>
      </c>
      <c r="L21" s="49" t="s">
        <v>48</v>
      </c>
      <c r="M21" s="48" t="s">
        <v>51</v>
      </c>
      <c r="N21" s="46"/>
      <c r="O21" s="46" t="s">
        <v>23</v>
      </c>
      <c r="P21" s="46" t="s">
        <v>25</v>
      </c>
      <c r="Q21" s="96" t="s">
        <v>22</v>
      </c>
      <c r="R21" s="96" t="s">
        <v>43</v>
      </c>
    </row>
    <row r="22" spans="1:18" ht="15">
      <c r="A22" s="45" t="s">
        <v>16</v>
      </c>
      <c r="B22" s="45" t="s">
        <v>17</v>
      </c>
      <c r="C22" s="52" t="s">
        <v>36</v>
      </c>
      <c r="D22" s="46" t="s">
        <v>4</v>
      </c>
      <c r="E22" s="46" t="s">
        <v>6</v>
      </c>
      <c r="F22" s="50" t="s">
        <v>38</v>
      </c>
      <c r="G22" s="50" t="s">
        <v>63</v>
      </c>
      <c r="H22" s="51" t="s">
        <v>59</v>
      </c>
      <c r="I22" s="46" t="s">
        <v>19</v>
      </c>
      <c r="J22" s="46" t="s">
        <v>21</v>
      </c>
      <c r="K22" s="48" t="s">
        <v>22</v>
      </c>
      <c r="L22" s="49" t="s">
        <v>49</v>
      </c>
      <c r="M22" s="48" t="s">
        <v>52</v>
      </c>
      <c r="N22" s="46"/>
      <c r="O22" s="46" t="s">
        <v>24</v>
      </c>
      <c r="P22" s="46" t="s">
        <v>8</v>
      </c>
      <c r="Q22" s="96" t="s">
        <v>26</v>
      </c>
      <c r="R22" s="96" t="s">
        <v>44</v>
      </c>
    </row>
    <row r="23" spans="1:18" ht="15">
      <c r="A23" s="82">
        <v>85</v>
      </c>
      <c r="B23" s="82">
        <v>49</v>
      </c>
      <c r="C23" s="82">
        <v>20</v>
      </c>
      <c r="D23" s="82">
        <v>15</v>
      </c>
      <c r="E23" s="53">
        <f>1/4.3+C23*(D23-7.2)/4000</f>
        <v>0.2715581395348837</v>
      </c>
      <c r="F23" s="54">
        <f>1/E23</f>
        <v>3.6824526847649226</v>
      </c>
      <c r="G23" s="23">
        <f>A23*E23</f>
        <v>23.082441860465117</v>
      </c>
      <c r="H23" s="23">
        <f>F23*2.8</f>
        <v>10.310867517341782</v>
      </c>
      <c r="I23" s="47">
        <f>IF(B23&gt;49,48+(B23-49)*0.43,IF(B23&gt;42,44+(B23-42)*0.57,IF(B23&gt;35,39+(B23-35)*0.714,IF(B23&gt;=21,29+(B23-21)*0.714,0))))</f>
        <v>47.99</v>
      </c>
      <c r="J23" s="55">
        <f>10000/H23</f>
        <v>969.8504983388706</v>
      </c>
      <c r="K23" s="55">
        <f>J23*I23/100</f>
        <v>465.43125415282407</v>
      </c>
      <c r="L23" s="23">
        <f>A23*K23/10000</f>
        <v>3.9561656602990043</v>
      </c>
      <c r="M23" s="54">
        <f>A23*(J23-K23)/10000</f>
        <v>4.2875635755813954</v>
      </c>
      <c r="N23" s="46"/>
      <c r="O23" s="23">
        <f>365/(115+B23+F24)</f>
        <v>2</v>
      </c>
      <c r="P23" s="55">
        <f>A23*O23</f>
        <v>170</v>
      </c>
      <c r="Q23" s="62">
        <f>A23*O23*(B23+7)/365</f>
        <v>26.08219178082192</v>
      </c>
      <c r="R23" s="98">
        <f>L23/Q23*10000</f>
        <v>1516.8072121944713</v>
      </c>
    </row>
    <row r="24" spans="1:18" ht="14.25">
      <c r="A24" s="52" t="s">
        <v>60</v>
      </c>
      <c r="B24" s="45"/>
      <c r="C24" s="45"/>
      <c r="D24" s="56"/>
      <c r="E24" s="45"/>
      <c r="F24" s="83">
        <v>18.5</v>
      </c>
      <c r="G24" s="87" t="s">
        <v>96</v>
      </c>
      <c r="H24" s="45"/>
      <c r="I24" s="45"/>
      <c r="J24" s="45"/>
      <c r="K24" s="45"/>
      <c r="L24" s="45"/>
      <c r="M24" s="57" t="s">
        <v>86</v>
      </c>
      <c r="N24" s="58"/>
      <c r="O24" s="46"/>
      <c r="P24" s="46"/>
      <c r="Q24" s="46"/>
      <c r="R24" s="46"/>
    </row>
    <row r="25" spans="1:18" ht="14.25">
      <c r="A25" s="63"/>
      <c r="B25" s="73"/>
      <c r="C25" s="73"/>
      <c r="D25" s="74"/>
      <c r="E25" s="73"/>
      <c r="F25" s="67"/>
      <c r="G25" s="67"/>
      <c r="H25" s="73" t="s">
        <v>83</v>
      </c>
      <c r="I25" s="73"/>
      <c r="J25" s="73" t="s">
        <v>84</v>
      </c>
      <c r="K25" s="73"/>
      <c r="L25" s="73"/>
      <c r="M25" s="75"/>
      <c r="N25" s="76"/>
      <c r="O25" s="77"/>
      <c r="P25" s="77"/>
      <c r="Q25" s="77"/>
      <c r="R25" s="77"/>
    </row>
    <row r="26" spans="1:18" ht="14.25">
      <c r="A26" s="63"/>
      <c r="B26" s="73"/>
      <c r="C26" s="73"/>
      <c r="D26" s="74"/>
      <c r="E26" s="73"/>
      <c r="F26" s="67"/>
      <c r="G26" s="67" t="s">
        <v>63</v>
      </c>
      <c r="H26" s="73" t="s">
        <v>82</v>
      </c>
      <c r="I26" s="73"/>
      <c r="J26" s="73" t="s">
        <v>85</v>
      </c>
      <c r="K26" s="73"/>
      <c r="L26" s="73"/>
      <c r="M26" s="75"/>
      <c r="N26" s="76"/>
      <c r="O26" s="77"/>
      <c r="P26" s="77"/>
      <c r="Q26" s="77"/>
      <c r="R26" s="77"/>
    </row>
    <row r="27" spans="1:18" ht="14.25">
      <c r="A27" s="63" t="s">
        <v>81</v>
      </c>
      <c r="B27" s="73"/>
      <c r="C27" s="73"/>
      <c r="D27" s="74"/>
      <c r="E27" s="73"/>
      <c r="F27" s="67"/>
      <c r="G27" s="78">
        <f>G12+G17+G23</f>
        <v>30.74044186046512</v>
      </c>
      <c r="H27" s="79">
        <f>G27/1.4</f>
        <v>21.957458471760802</v>
      </c>
      <c r="I27" s="73"/>
      <c r="J27" s="79">
        <f>G27/2.8</f>
        <v>10.978729235880401</v>
      </c>
      <c r="K27" s="73"/>
      <c r="L27" s="73"/>
      <c r="M27" s="75"/>
      <c r="N27" s="76"/>
      <c r="O27" s="77"/>
      <c r="P27" s="77"/>
      <c r="Q27" s="77"/>
      <c r="R27" s="77"/>
    </row>
    <row r="28" spans="1:18" ht="14.25">
      <c r="A28" s="52"/>
      <c r="B28" s="45"/>
      <c r="C28" s="45"/>
      <c r="D28" s="56"/>
      <c r="E28" s="45"/>
      <c r="F28" s="55"/>
      <c r="G28" s="55"/>
      <c r="H28" s="45"/>
      <c r="I28" s="45"/>
      <c r="J28" s="45"/>
      <c r="K28" s="45"/>
      <c r="L28" s="45"/>
      <c r="M28" s="57"/>
      <c r="N28" s="58"/>
      <c r="O28" s="46"/>
      <c r="P28" s="46"/>
      <c r="Q28" s="46"/>
      <c r="R28" s="46"/>
    </row>
    <row r="29" spans="1:18" ht="15">
      <c r="A29" s="44" t="s">
        <v>100</v>
      </c>
      <c r="B29" s="45"/>
      <c r="C29" s="45"/>
      <c r="D29" s="56"/>
      <c r="E29" s="45"/>
      <c r="F29" s="56"/>
      <c r="G29" s="56"/>
      <c r="H29" s="45"/>
      <c r="I29" s="45"/>
      <c r="J29" s="56"/>
      <c r="K29" s="56"/>
      <c r="L29" s="45"/>
      <c r="M29" s="45"/>
      <c r="N29" s="45"/>
      <c r="O29" s="45"/>
      <c r="P29" s="45"/>
      <c r="Q29" s="45"/>
      <c r="R29" s="45"/>
    </row>
    <row r="30" spans="1:18" ht="14.25">
      <c r="A30" s="52" t="s">
        <v>66</v>
      </c>
      <c r="B30" s="45"/>
      <c r="C30" s="45"/>
      <c r="D30" s="59"/>
      <c r="E30" s="59"/>
      <c r="F30" s="59"/>
      <c r="G30" s="59"/>
      <c r="H30" s="59"/>
      <c r="I30" s="59"/>
      <c r="J30" s="59"/>
      <c r="K30" s="59"/>
      <c r="L30" s="46"/>
      <c r="M30" s="47"/>
      <c r="N30" s="45"/>
      <c r="O30" s="45"/>
      <c r="P30" s="45"/>
      <c r="Q30" s="45"/>
      <c r="R30" s="45"/>
    </row>
    <row r="31" spans="1:18" ht="14.25">
      <c r="A31" s="52"/>
      <c r="B31" s="45"/>
      <c r="C31" s="45"/>
      <c r="D31" s="59"/>
      <c r="E31" s="59"/>
      <c r="F31" s="59"/>
      <c r="G31" s="59"/>
      <c r="H31" s="59"/>
      <c r="I31" s="59"/>
      <c r="J31" s="59"/>
      <c r="K31" s="59"/>
      <c r="L31" s="46"/>
      <c r="M31" s="47"/>
      <c r="N31" s="45"/>
      <c r="O31" s="45"/>
      <c r="P31" s="45"/>
      <c r="Q31" s="45"/>
      <c r="R31" s="45"/>
    </row>
    <row r="32" spans="1:18" ht="14.25">
      <c r="A32" s="52" t="s">
        <v>70</v>
      </c>
      <c r="B32" s="45"/>
      <c r="C32" s="45"/>
      <c r="D32" s="59"/>
      <c r="E32" s="59"/>
      <c r="F32" s="59"/>
      <c r="G32" s="59"/>
      <c r="H32" s="59"/>
      <c r="I32" s="59"/>
      <c r="J32" s="59"/>
      <c r="K32" s="59"/>
      <c r="L32" s="46"/>
      <c r="M32" s="47"/>
      <c r="N32" s="45"/>
      <c r="O32" s="45"/>
      <c r="P32" s="45"/>
      <c r="Q32" s="45"/>
      <c r="R32" s="45"/>
    </row>
    <row r="33" spans="1:18" ht="14.25">
      <c r="A33" s="52"/>
      <c r="B33" s="45"/>
      <c r="C33" s="45"/>
      <c r="D33" s="59"/>
      <c r="E33" s="59"/>
      <c r="F33" s="59"/>
      <c r="G33" s="59"/>
      <c r="H33" s="59"/>
      <c r="I33" s="59"/>
      <c r="J33" s="59"/>
      <c r="K33" s="59"/>
      <c r="L33" s="46"/>
      <c r="M33" s="47"/>
      <c r="N33" s="45"/>
      <c r="O33" s="45"/>
      <c r="P33" s="45"/>
      <c r="Q33" s="45"/>
      <c r="R33" s="45"/>
    </row>
    <row r="34" spans="1:18" ht="15">
      <c r="A34" s="52" t="s">
        <v>97</v>
      </c>
      <c r="B34" s="45" t="s">
        <v>98</v>
      </c>
      <c r="C34" s="45" t="s">
        <v>101</v>
      </c>
      <c r="D34" s="59" t="s">
        <v>72</v>
      </c>
      <c r="E34" s="66" t="s">
        <v>76</v>
      </c>
      <c r="F34" s="59"/>
      <c r="G34" s="66" t="s">
        <v>87</v>
      </c>
      <c r="H34" s="59"/>
      <c r="I34" s="59"/>
      <c r="J34" s="59"/>
      <c r="K34" s="59"/>
      <c r="L34" s="46"/>
      <c r="M34" s="103">
        <f>M23*E37</f>
        <v>3.7317682972652886</v>
      </c>
      <c r="N34" s="45"/>
      <c r="O34" s="45"/>
      <c r="P34" s="45"/>
      <c r="Q34" s="45"/>
      <c r="R34" s="45"/>
    </row>
    <row r="35" spans="1:18" ht="14.25">
      <c r="A35" s="52" t="s">
        <v>71</v>
      </c>
      <c r="B35" s="45" t="s">
        <v>71</v>
      </c>
      <c r="C35" s="45" t="s">
        <v>69</v>
      </c>
      <c r="D35" s="59" t="s">
        <v>73</v>
      </c>
      <c r="E35" s="61" t="s">
        <v>77</v>
      </c>
      <c r="F35" s="59"/>
      <c r="G35" s="66" t="s">
        <v>89</v>
      </c>
      <c r="H35" s="59"/>
      <c r="I35" s="59"/>
      <c r="J35" s="59"/>
      <c r="K35" s="59"/>
      <c r="L35" s="46"/>
      <c r="M35" s="47"/>
      <c r="N35" s="45"/>
      <c r="O35" s="45"/>
      <c r="P35" s="45"/>
      <c r="Q35" s="45"/>
      <c r="R35" s="45"/>
    </row>
    <row r="36" spans="1:18" ht="14.25">
      <c r="A36" s="52" t="s">
        <v>68</v>
      </c>
      <c r="B36" s="45" t="s">
        <v>68</v>
      </c>
      <c r="C36" s="45" t="s">
        <v>67</v>
      </c>
      <c r="D36" s="59" t="s">
        <v>74</v>
      </c>
      <c r="E36" s="61" t="s">
        <v>78</v>
      </c>
      <c r="F36" s="59"/>
      <c r="G36" s="59"/>
      <c r="H36" s="59"/>
      <c r="I36" s="59"/>
      <c r="J36" s="59"/>
      <c r="K36" s="59"/>
      <c r="L36" s="46"/>
      <c r="M36" s="47"/>
      <c r="N36" s="45"/>
      <c r="O36" s="45"/>
      <c r="P36" s="45"/>
      <c r="Q36" s="45"/>
      <c r="R36" s="45"/>
    </row>
    <row r="37" spans="1:18" ht="14.25">
      <c r="A37" s="85">
        <v>14</v>
      </c>
      <c r="B37" s="46">
        <f>(108-A37)</f>
        <v>94</v>
      </c>
      <c r="C37" s="46">
        <f>A37+B37</f>
        <v>108</v>
      </c>
      <c r="D37" s="64">
        <f>A37/C37*100</f>
        <v>12.962962962962962</v>
      </c>
      <c r="E37" s="65">
        <f>B37/C37</f>
        <v>0.8703703703703703</v>
      </c>
      <c r="F37" s="59"/>
      <c r="G37" s="59"/>
      <c r="H37" s="59"/>
      <c r="I37" s="59"/>
      <c r="J37" s="59"/>
      <c r="K37" s="59"/>
      <c r="L37" s="59"/>
      <c r="M37" s="47"/>
      <c r="N37" s="45"/>
      <c r="O37" s="45"/>
      <c r="P37" s="45"/>
      <c r="Q37" s="45"/>
      <c r="R37" s="45"/>
    </row>
    <row r="38" spans="1:18" ht="14.25">
      <c r="A38" s="86"/>
      <c r="B38" s="46"/>
      <c r="C38" s="46"/>
      <c r="D38" s="64"/>
      <c r="E38" s="65"/>
      <c r="F38" s="59"/>
      <c r="G38" s="59"/>
      <c r="H38" s="59"/>
      <c r="I38" s="59"/>
      <c r="J38" s="59"/>
      <c r="K38" s="59"/>
      <c r="L38" s="59"/>
      <c r="M38" s="47"/>
      <c r="N38" s="45"/>
      <c r="O38" s="45"/>
      <c r="P38" s="45"/>
      <c r="Q38" s="45"/>
      <c r="R38" s="45"/>
    </row>
    <row r="39" spans="1:18" ht="14.25">
      <c r="A39" s="52" t="s">
        <v>75</v>
      </c>
      <c r="B39" s="45"/>
      <c r="C39" s="45"/>
      <c r="D39" s="59"/>
      <c r="E39" s="52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5">
      <c r="A40" s="52" t="s">
        <v>88</v>
      </c>
      <c r="B40" s="44"/>
      <c r="C40" s="44"/>
      <c r="D40" s="62"/>
      <c r="E40" s="85">
        <v>270</v>
      </c>
      <c r="F40" s="44"/>
      <c r="G40" s="44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5">
      <c r="A41" s="44" t="s">
        <v>92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03">
        <f>M34*E40/365</f>
        <v>2.76048613770309</v>
      </c>
      <c r="N41" s="45"/>
      <c r="O41" s="45"/>
      <c r="P41" s="45"/>
      <c r="Q41" s="45"/>
      <c r="R41" s="45"/>
    </row>
    <row r="42" spans="1:18" ht="14.25">
      <c r="A42" s="5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6" ht="14.25">
      <c r="H46" s="7"/>
    </row>
    <row r="47" spans="8:9" ht="14.25">
      <c r="H47" s="7"/>
      <c r="I47" s="7"/>
    </row>
    <row r="49" spans="2:4" ht="14.25">
      <c r="B49" s="9"/>
      <c r="C49" s="9"/>
      <c r="D49" s="10"/>
    </row>
    <row r="50" spans="2:3" ht="14.25">
      <c r="B50" s="9"/>
      <c r="C50" s="9"/>
    </row>
    <row r="51" spans="2:3" ht="14.25">
      <c r="B51" s="9"/>
      <c r="C51" s="9"/>
    </row>
    <row r="52" spans="2:3" ht="14.25">
      <c r="B52" s="9"/>
      <c r="C52" s="9"/>
    </row>
    <row r="59" spans="5:7" ht="14.25">
      <c r="E59" s="11"/>
      <c r="F59" s="11"/>
      <c r="G59" s="11"/>
    </row>
    <row r="60" spans="5:7" ht="14.25">
      <c r="E60" s="11"/>
      <c r="F60" s="11"/>
      <c r="G60" s="11"/>
    </row>
  </sheetData>
  <sheetProtection password="DCC8" sheet="1"/>
  <printOptions/>
  <pageMargins left="0.7480314960629921" right="0.7480314960629921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Landbrugets Rådgivningscenter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for svin på friland</dc:title>
  <dc:subject/>
  <dc:creator>Per Tybirk</dc:creator>
  <cp:keywords/>
  <dc:description/>
  <cp:lastModifiedBy>Jette Hallenberg Christensen</cp:lastModifiedBy>
  <cp:lastPrinted>2012-11-14T09:30:12Z</cp:lastPrinted>
  <dcterms:created xsi:type="dcterms:W3CDTF">2004-08-17T10:03:38Z</dcterms:created>
  <dcterms:modified xsi:type="dcterms:W3CDTF">2012-11-19T09:53:16Z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WebInfoSubjec">
    <vt:lpwstr>24;#Økologi</vt:lpwstr>
  </property>
  <property fmtid="{D5CDD505-2E9C-101B-9397-08002B2CF9AE}" pid="4" name="PublishingPageConte">
    <vt:lpwstr/>
  </property>
  <property fmtid="{D5CDD505-2E9C-101B-9397-08002B2CF9AE}" pid="5" name="Revisionsda">
    <vt:lpwstr>2012-11-19T10:12:00Z</vt:lpwstr>
  </property>
  <property fmtid="{D5CDD505-2E9C-101B-9397-08002B2CF9AE}" pid="6" name="HideInRollu">
    <vt:lpwstr>1</vt:lpwstr>
  </property>
  <property fmtid="{D5CDD505-2E9C-101B-9397-08002B2CF9AE}" pid="7" name="Projekt">
    <vt:lpwstr>660;#Demonstration af ny viden til økologisk jordbrug</vt:lpwstr>
  </property>
  <property fmtid="{D5CDD505-2E9C-101B-9397-08002B2CF9AE}" pid="8" name="Ansvarligafdeli">
    <vt:lpwstr>37</vt:lpwstr>
  </property>
  <property fmtid="{D5CDD505-2E9C-101B-9397-08002B2CF9AE}" pid="9" name="Informationsser">
    <vt:lpwstr/>
  </property>
  <property fmtid="{D5CDD505-2E9C-101B-9397-08002B2CF9AE}" pid="10" name="Permalink">
    <vt:lpwstr>210ee05e-0683-4d1f-ae26-e59c6c3c080d</vt:lpwstr>
  </property>
  <property fmtid="{D5CDD505-2E9C-101B-9397-08002B2CF9AE}" pid="11" name="PublishingRollupIma">
    <vt:lpwstr/>
  </property>
  <property fmtid="{D5CDD505-2E9C-101B-9397-08002B2CF9AE}" pid="12" name="Noegleo">
    <vt:lpwstr/>
  </property>
  <property fmtid="{D5CDD505-2E9C-101B-9397-08002B2CF9AE}" pid="13" name="Audien">
    <vt:lpwstr/>
  </property>
  <property fmtid="{D5CDD505-2E9C-101B-9397-08002B2CF9AE}" pid="14" name="Sprogva">
    <vt:lpwstr>2</vt:lpwstr>
  </property>
  <property fmtid="{D5CDD505-2E9C-101B-9397-08002B2CF9AE}" pid="15" name="ArticleStartDa">
    <vt:lpwstr>2012-11-19T00:00:00Z</vt:lpwstr>
  </property>
  <property fmtid="{D5CDD505-2E9C-101B-9397-08002B2CF9AE}" pid="16" name="ArticleByLi">
    <vt:lpwstr/>
  </property>
  <property fmtid="{D5CDD505-2E9C-101B-9397-08002B2CF9AE}" pid="17" name="Bekraeftelsesda">
    <vt:lpwstr>2013-11-05T08:25:47Z</vt:lpwstr>
  </property>
  <property fmtid="{D5CDD505-2E9C-101B-9397-08002B2CF9AE}" pid="18" name="HitCou">
    <vt:lpwstr>0</vt:lpwstr>
  </property>
  <property fmtid="{D5CDD505-2E9C-101B-9397-08002B2CF9AE}" pid="19" name="PublishingImageCapti">
    <vt:lpwstr/>
  </property>
  <property fmtid="{D5CDD505-2E9C-101B-9397-08002B2CF9AE}" pid="20" name="NetSkabelonVal">
    <vt:lpwstr/>
  </property>
  <property fmtid="{D5CDD505-2E9C-101B-9397-08002B2CF9AE}" pid="21" name="PublishingContactEma">
    <vt:lpwstr/>
  </property>
  <property fmtid="{D5CDD505-2E9C-101B-9397-08002B2CF9AE}" pid="22" name="Arkiveringsda">
    <vt:lpwstr>2014-11-19T00:00:00Z</vt:lpwstr>
  </property>
  <property fmtid="{D5CDD505-2E9C-101B-9397-08002B2CF9AE}" pid="23" name="GammelU">
    <vt:lpwstr/>
  </property>
  <property fmtid="{D5CDD505-2E9C-101B-9397-08002B2CF9AE}" pid="24" name="PublishingPageIma">
    <vt:lpwstr/>
  </property>
  <property fmtid="{D5CDD505-2E9C-101B-9397-08002B2CF9AE}" pid="25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">
    <vt:lpwstr>15185;#i:0e.t|dlbr idp|lctos@prod.dli;#20894;#i:0e.t|dlbr idp|lcpet@prod.dli</vt:lpwstr>
  </property>
  <property fmtid="{D5CDD505-2E9C-101B-9397-08002B2CF9AE}" pid="27" name="PublishingContactPictu">
    <vt:lpwstr/>
  </property>
  <property fmtid="{D5CDD505-2E9C-101B-9397-08002B2CF9AE}" pid="28" name="Ingen besked ved arkiveri">
    <vt:lpwstr>0</vt:lpwstr>
  </property>
  <property fmtid="{D5CDD505-2E9C-101B-9397-08002B2CF9AE}" pid="29" name="IsHiddenFromRoll">
    <vt:lpwstr>1</vt:lpwstr>
  </property>
  <property fmtid="{D5CDD505-2E9C-101B-9397-08002B2CF9AE}" pid="30" name="Rettighedsgrup">
    <vt:lpwstr>1</vt:lpwstr>
  </property>
  <property fmtid="{D5CDD505-2E9C-101B-9397-08002B2CF9AE}" pid="31" name="PublishingContactNa">
    <vt:lpwstr/>
  </property>
  <property fmtid="{D5CDD505-2E9C-101B-9397-08002B2CF9AE}" pid="32" name="Commen">
    <vt:lpwstr/>
  </property>
  <property fmtid="{D5CDD505-2E9C-101B-9397-08002B2CF9AE}" pid="33" name="display_urn:schemas-microsoft-com:office:office#Forfatte">
    <vt:lpwstr>Tove Serup (LCTOS);Per Tybirk (LCPET)</vt:lpwstr>
  </property>
  <property fmtid="{D5CDD505-2E9C-101B-9397-08002B2CF9AE}" pid="34" name="Listeko">
    <vt:lpwstr/>
  </property>
  <property fmtid="{D5CDD505-2E9C-101B-9397-08002B2CF9AE}" pid="35" name="Numm">
    <vt:lpwstr/>
  </property>
  <property fmtid="{D5CDD505-2E9C-101B-9397-08002B2CF9AE}" pid="36" name="Afsend">
    <vt:lpwstr>2</vt:lpwstr>
  </property>
  <property fmtid="{D5CDD505-2E9C-101B-9397-08002B2CF9AE}" pid="37" name="EnclosureF">
    <vt:lpwstr/>
  </property>
  <property fmtid="{D5CDD505-2E9C-101B-9397-08002B2CF9AE}" pid="38" name="AllowCommen">
    <vt:lpwstr>1</vt:lpwstr>
  </property>
  <property fmtid="{D5CDD505-2E9C-101B-9397-08002B2CF9AE}" pid="39" name="DisplayCommen">
    <vt:lpwstr>1</vt:lpwstr>
  </property>
  <property fmtid="{D5CDD505-2E9C-101B-9397-08002B2CF9AE}" pid="40" name="_dlc_Doc">
    <vt:lpwstr>LBINFO-1867-1</vt:lpwstr>
  </property>
  <property fmtid="{D5CDD505-2E9C-101B-9397-08002B2CF9AE}" pid="41" name="_dlc_DocIdU">
    <vt:lpwstr>https://www.landbrugsinfo.dk/Oekologi/Svin/Areal/_layouts/DocIdRedir.aspx?ID=LBINFO-1867-1, LBINFO-1867-1</vt:lpwstr>
  </property>
  <property fmtid="{D5CDD505-2E9C-101B-9397-08002B2CF9AE}" pid="42" name="_dlc_DocIdItemGu">
    <vt:lpwstr>2483021b-d5bf-4ee9-93eb-44e45449b762</vt:lpwstr>
  </property>
  <property fmtid="{D5CDD505-2E9C-101B-9397-08002B2CF9AE}" pid="43" name="KnowledgeArtic">
    <vt:lpwstr>0</vt:lpwstr>
  </property>
</Properties>
</file>